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externalLinks/externalLink1.xml" ContentType="application/vnd.openxmlformats-officedocument.spreadsheetml.externalLink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Sep - Nov 2024\"/>
    </mc:Choice>
  </mc:AlternateContent>
  <xr:revisionPtr revIDLastSave="0" documentId="13_ncr:1_{6E71EC9F-55AC-4CD6-B197-286BEB0CE011}" xr6:coauthVersionLast="47" xr6:coauthVersionMax="47" xr10:uidLastSave="{00000000-0000-0000-0000-000000000000}"/>
  <bookViews>
    <workbookView xWindow="26250" yWindow="5550" windowWidth="28770" windowHeight="17190" activeTab="1" xr2:uid="{FF64AF30-3015-1142-92FA-2A2ED079457A}"/>
  </bookViews>
  <sheets>
    <sheet name="Variable_List" sheetId="2" r:id="rId1"/>
    <sheet name="SPS2" sheetId="1" r:id="rId2"/>
    <sheet name="check" sheetId="4" r:id="rId3"/>
  </sheets>
  <externalReferences>
    <externalReference r:id="rId4"/>
  </externalReferences>
  <definedNames>
    <definedName name="_xlnm._FilterDatabase" localSheetId="1" hidden="1">'SPS2'!$A$1:$K$1753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I1688" i="1" a="1"/>
  <c r="I1688" i="1" s="1"/>
  <c r="H1688" i="1" a="1"/>
  <c r="H1688" i="1" s="1"/>
  <c r="F1688" i="1" a="1"/>
  <c r="F1688" i="1" s="1"/>
  <c r="K1688" i="1" a="1"/>
  <c r="K1688" i="1" s="1"/>
  <c r="J1688" i="1" a="1"/>
  <c r="J1688" i="1" s="1"/>
  <c r="G1688" i="1" a="1"/>
  <c r="G1688" i="1" s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J2016" i="1" a="1"/>
  <c r="J2016" i="1" s="1"/>
  <c r="J2012" i="1" a="1"/>
  <c r="J2012" i="1" s="1"/>
  <c r="K2010" i="1" a="1"/>
  <c r="K2010" i="1" s="1"/>
  <c r="J2013" i="1" a="1"/>
  <c r="J2013" i="1" s="1"/>
  <c r="J2011" i="1" a="1"/>
  <c r="J2011" i="1" s="1"/>
  <c r="G2010" i="1" a="1"/>
  <c r="G2010" i="1" s="1"/>
  <c r="I2013" i="1" a="1"/>
  <c r="I2013" i="1" s="1"/>
  <c r="I2016" i="1" a="1"/>
  <c r="I2016" i="1" s="1"/>
  <c r="G2011" i="1" a="1"/>
  <c r="G2011" i="1" s="1"/>
  <c r="G2012" i="1" s="1" a="1"/>
  <c r="G2012" i="1" s="1"/>
  <c r="K2016" i="1" a="1"/>
  <c r="K2016" i="1" s="1"/>
  <c r="J2015" i="1" a="1"/>
  <c r="J2015" i="1" s="1"/>
  <c r="H2015" i="1" a="1"/>
  <c r="H2015" i="1" s="1"/>
  <c r="F2011" i="1" a="1"/>
  <c r="F2011" i="1" s="1"/>
  <c r="H2010" i="1" a="1"/>
  <c r="H2010" i="1" s="1"/>
  <c r="F2014" i="1" a="1"/>
  <c r="F2014" i="1" s="1"/>
  <c r="J2010" i="1" a="1"/>
  <c r="J2010" i="1" s="1"/>
  <c r="F2010" i="1" a="1"/>
  <c r="F2010" i="1" s="1"/>
  <c r="F2012" i="1" a="1"/>
  <c r="F2012" i="1" s="1"/>
  <c r="K2015" i="1" a="1"/>
  <c r="K2015" i="1" s="1"/>
  <c r="G2015" i="1" a="1"/>
  <c r="G2015" i="1" s="1"/>
  <c r="I2011" i="1" a="1"/>
  <c r="I2011" i="1" s="1"/>
  <c r="I2012" i="1" s="1" a="1"/>
  <c r="I2012" i="1" s="1"/>
  <c r="H2016" i="1" a="1"/>
  <c r="H2016" i="1" s="1"/>
  <c r="F2016" i="1" a="1"/>
  <c r="F2016" i="1" s="1"/>
  <c r="I2014" i="1" a="1"/>
  <c r="I2014" i="1" s="1"/>
  <c r="I2010" i="1" a="1"/>
  <c r="I2010" i="1" s="1"/>
  <c r="J2014" i="1" a="1"/>
  <c r="J2014" i="1" s="1"/>
  <c r="G2016" i="1" a="1"/>
  <c r="G2016" i="1" s="1"/>
  <c r="I2015" i="1" a="1"/>
  <c r="I2015" i="1" s="1"/>
  <c r="G2013" i="1" a="1"/>
  <c r="G2013" i="1" s="1"/>
  <c r="G2014" i="1" s="1" a="1"/>
  <c r="G2014" i="1" s="1"/>
  <c r="F2013" i="1" a="1"/>
  <c r="F2013" i="1" s="1"/>
  <c r="F2015" i="1" a="1"/>
  <c r="F2015" i="1" s="1"/>
  <c r="K2013" i="1" a="1"/>
  <c r="K2013" i="1" s="1"/>
  <c r="K2014" i="1" s="1" a="1"/>
  <c r="K2014" i="1" s="1"/>
  <c r="H2013" i="1" a="1"/>
  <c r="H2013" i="1" s="1"/>
  <c r="H2014" i="1" s="1" a="1"/>
  <c r="H2014" i="1" s="1"/>
  <c r="K2011" i="1" a="1"/>
  <c r="K2011" i="1" s="1"/>
  <c r="K2012" i="1" s="1" a="1"/>
  <c r="K2012" i="1" s="1"/>
  <c r="H2011" i="1" a="1"/>
  <c r="H2011" i="1" s="1"/>
  <c r="H2012" i="1" s="1" a="1"/>
  <c r="H2012" i="1" s="1"/>
  <c r="J2006" i="1" a="1"/>
  <c r="J2006" i="1" s="1"/>
  <c r="I2006" i="1" a="1"/>
  <c r="I2006" i="1" s="1"/>
  <c r="G2006" i="1" a="1"/>
  <c r="G2006" i="1" s="1"/>
  <c r="I2005" i="1" a="1"/>
  <c r="I2005" i="1" s="1"/>
  <c r="H2003" i="1" a="1"/>
  <c r="H2003" i="1" s="1"/>
  <c r="H2004" i="1" s="1" a="1"/>
  <c r="H2004" i="1" s="1"/>
  <c r="J2003" i="1" a="1"/>
  <c r="J2003" i="1" s="1"/>
  <c r="J2004" i="1" s="1" a="1"/>
  <c r="J2004" i="1" s="1"/>
  <c r="H2000" i="1" a="1"/>
  <c r="H2000" i="1" s="1"/>
  <c r="I2009" i="1" a="1"/>
  <c r="I2009" i="1" s="1"/>
  <c r="F2005" i="1" a="1"/>
  <c r="F2005" i="1" s="1"/>
  <c r="I2008" i="1" a="1"/>
  <c r="I2008" i="1" s="1"/>
  <c r="H2006" i="1" a="1"/>
  <c r="H2006" i="1" s="1"/>
  <c r="G2000" i="1" a="1"/>
  <c r="G2000" i="1" s="1"/>
  <c r="G2001" i="1" a="1"/>
  <c r="G2001" i="1" s="1"/>
  <c r="G2002" i="1" s="1" a="1"/>
  <c r="G2002" i="1" s="1"/>
  <c r="H2005" i="1" a="1"/>
  <c r="H2005" i="1" s="1"/>
  <c r="I2000" i="1" a="1"/>
  <c r="I2000" i="1" s="1"/>
  <c r="G2003" i="1" a="1"/>
  <c r="G2003" i="1" s="1"/>
  <c r="G2004" i="1" s="1" a="1"/>
  <c r="G2004" i="1" s="1"/>
  <c r="F2003" i="1" a="1"/>
  <c r="F2003" i="1" s="1"/>
  <c r="F2004" i="1" s="1" a="1"/>
  <c r="F2004" i="1" s="1"/>
  <c r="K2006" i="1" a="1"/>
  <c r="K2006" i="1" s="1"/>
  <c r="G2005" i="1" a="1"/>
  <c r="G2005" i="1" s="1"/>
  <c r="J2008" i="1" a="1"/>
  <c r="J2008" i="1" s="1"/>
  <c r="J2009" i="1" s="1" a="1"/>
  <c r="J2009" i="1" s="1"/>
  <c r="K2003" i="1" a="1"/>
  <c r="K2003" i="1" s="1"/>
  <c r="K2004" i="1" s="1" a="1"/>
  <c r="K2004" i="1" s="1"/>
  <c r="K2008" i="1" a="1"/>
  <c r="K2008" i="1" s="1"/>
  <c r="K2009" i="1" s="1" a="1"/>
  <c r="K2009" i="1" s="1"/>
  <c r="F2006" i="1" a="1"/>
  <c r="F2006" i="1" s="1"/>
  <c r="J2001" i="1" a="1"/>
  <c r="J2001" i="1" s="1"/>
  <c r="J2002" i="1" s="1" a="1"/>
  <c r="J2002" i="1" s="1"/>
  <c r="F2001" i="1" a="1"/>
  <c r="F2001" i="1" s="1"/>
  <c r="F2002" i="1" s="1" a="1"/>
  <c r="F2002" i="1" s="1"/>
  <c r="K2000" i="1" a="1"/>
  <c r="K2000" i="1" s="1"/>
  <c r="K2005" i="1" a="1"/>
  <c r="K2005" i="1" s="1"/>
  <c r="I2003" i="1" a="1"/>
  <c r="I2003" i="1" s="1"/>
  <c r="K2001" i="1" a="1"/>
  <c r="K2001" i="1" s="1"/>
  <c r="K2002" i="1" s="1" a="1"/>
  <c r="K2002" i="1" s="1"/>
  <c r="H2001" i="1" a="1"/>
  <c r="H2001" i="1" s="1"/>
  <c r="H2002" i="1" s="1" a="1"/>
  <c r="H2002" i="1" s="1"/>
  <c r="J2000" i="1" a="1"/>
  <c r="J2000" i="1" s="1"/>
  <c r="I2001" i="1" a="1"/>
  <c r="I2001" i="1" s="1"/>
  <c r="I2002" i="1" s="1" a="1"/>
  <c r="I2002" i="1" s="1"/>
  <c r="I2004" i="1" a="1"/>
  <c r="I2004" i="1" s="1"/>
  <c r="H2008" i="1" a="1"/>
  <c r="H2008" i="1" s="1"/>
  <c r="H2009" i="1" s="1" a="1"/>
  <c r="H2009" i="1" s="1"/>
  <c r="F2000" i="1" a="1"/>
  <c r="F2000" i="1" s="1"/>
  <c r="G2008" i="1" a="1"/>
  <c r="G2008" i="1" s="1"/>
  <c r="G2009" i="1" s="1" a="1"/>
  <c r="G2009" i="1" s="1"/>
  <c r="F2008" i="1" a="1"/>
  <c r="F2008" i="1" s="1"/>
  <c r="F2009" i="1" s="1" a="1"/>
  <c r="F2009" i="1" s="1"/>
  <c r="J2005" i="1" a="1"/>
  <c r="J2005" i="1" s="1"/>
  <c r="G1998" i="1" a="1"/>
  <c r="G1998" i="1" s="1"/>
  <c r="G1999" i="1" s="1" a="1"/>
  <c r="G1999" i="1" s="1"/>
  <c r="G1995" i="1" a="1"/>
  <c r="G1995" i="1" s="1"/>
  <c r="J1996" i="1" a="1"/>
  <c r="J1996" i="1" s="1"/>
  <c r="G1988" i="1" a="1"/>
  <c r="G1988" i="1" s="1"/>
  <c r="J1993" i="1" a="1"/>
  <c r="J1993" i="1" s="1"/>
  <c r="I1993" i="1" a="1"/>
  <c r="I1993" i="1" s="1"/>
  <c r="J1988" i="1" a="1"/>
  <c r="J1988" i="1" s="1"/>
  <c r="H1993" i="1" a="1"/>
  <c r="H1993" i="1" s="1"/>
  <c r="F1991" i="1" a="1"/>
  <c r="F1991" i="1" s="1"/>
  <c r="G1992" i="1" a="1"/>
  <c r="G1992" i="1" s="1"/>
  <c r="F1992" i="1" a="1"/>
  <c r="F1992" i="1" s="1"/>
  <c r="K1990" i="1" a="1"/>
  <c r="K1990" i="1" s="1"/>
  <c r="F1996" i="1" a="1"/>
  <c r="F1996" i="1" s="1"/>
  <c r="K1995" i="1" a="1"/>
  <c r="K1995" i="1" s="1"/>
  <c r="H1995" i="1" a="1"/>
  <c r="H1995" i="1" s="1"/>
  <c r="F1993" i="1" a="1"/>
  <c r="F1993" i="1" s="1"/>
  <c r="J1995" i="1" a="1"/>
  <c r="J1995" i="1" s="1"/>
  <c r="K1994" i="1" a="1"/>
  <c r="K1994" i="1" s="1"/>
  <c r="I1990" i="1" a="1"/>
  <c r="I1990" i="1" s="1"/>
  <c r="G1994" i="1" a="1"/>
  <c r="G1994" i="1" s="1"/>
  <c r="J1991" i="1" a="1"/>
  <c r="J1991" i="1" s="1"/>
  <c r="G1993" i="1" a="1"/>
  <c r="G1993" i="1"/>
  <c r="K1993" i="1" a="1"/>
  <c r="K1993" i="1" s="1"/>
  <c r="H1992" i="1" a="1"/>
  <c r="H1992" i="1" s="1"/>
  <c r="J1992" i="1" a="1"/>
  <c r="J1992" i="1" s="1"/>
  <c r="H1991" i="1" a="1"/>
  <c r="H1991" i="1" s="1"/>
  <c r="H1989" i="1" a="1"/>
  <c r="H1989" i="1" s="1"/>
  <c r="J1990" i="1" a="1"/>
  <c r="J1990" i="1" s="1"/>
  <c r="H1996" i="1" a="1"/>
  <c r="H1996" i="1" s="1"/>
  <c r="G1991" i="1" a="1"/>
  <c r="G1991" i="1" s="1"/>
  <c r="G1990" i="1" a="1"/>
  <c r="G1990" i="1" s="1"/>
  <c r="I1988" i="1" a="1"/>
  <c r="I1988" i="1"/>
  <c r="K1996" i="1" a="1"/>
  <c r="K1996" i="1" s="1"/>
  <c r="F1995" i="1" a="1"/>
  <c r="F1995" i="1" s="1"/>
  <c r="K1992" i="1" a="1"/>
  <c r="K1992" i="1" s="1"/>
  <c r="K1998" i="1" a="1"/>
  <c r="K1998" i="1" s="1"/>
  <c r="K1999" i="1" s="1" a="1"/>
  <c r="K1999" i="1" s="1"/>
  <c r="J1998" i="1" a="1"/>
  <c r="J1998" i="1" s="1"/>
  <c r="J1999" i="1" s="1" a="1"/>
  <c r="J1999" i="1" s="1"/>
  <c r="I1994" i="1" a="1"/>
  <c r="I1994" i="1" s="1"/>
  <c r="F1989" i="1" a="1"/>
  <c r="F1989" i="1" s="1"/>
  <c r="I1991" i="1" a="1"/>
  <c r="I1991" i="1" s="1"/>
  <c r="F1994" i="1" a="1"/>
  <c r="F1994" i="1" s="1"/>
  <c r="H1988" i="1" a="1"/>
  <c r="H1988" i="1" s="1"/>
  <c r="K1988" i="1" a="1"/>
  <c r="K1988" i="1" s="1"/>
  <c r="J1989" i="1" a="1"/>
  <c r="J1989" i="1" s="1"/>
  <c r="H1994" i="1" a="1"/>
  <c r="H1994" i="1" s="1"/>
  <c r="I1995" i="1" a="1"/>
  <c r="I1995" i="1" s="1"/>
  <c r="J1994" i="1" a="1"/>
  <c r="J1994" i="1" s="1"/>
  <c r="I1996" i="1" a="1"/>
  <c r="I1996" i="1" s="1"/>
  <c r="G1996" i="1" a="1"/>
  <c r="G1996" i="1" s="1"/>
  <c r="K1991" i="1" a="1"/>
  <c r="K1991" i="1" s="1"/>
  <c r="H1990" i="1" a="1"/>
  <c r="H1990" i="1" s="1"/>
  <c r="I1989" i="1" a="1"/>
  <c r="I1989" i="1" s="1"/>
  <c r="K1989" i="1" a="1"/>
  <c r="K1989" i="1" s="1"/>
  <c r="I1992" i="1" a="1"/>
  <c r="I1992" i="1" s="1"/>
  <c r="F1990" i="1" a="1"/>
  <c r="F1990" i="1" s="1"/>
  <c r="I1998" i="1" a="1"/>
  <c r="I1998" i="1" s="1"/>
  <c r="I1999" i="1" s="1" a="1"/>
  <c r="I1999" i="1" s="1"/>
  <c r="F1988" i="1" a="1"/>
  <c r="F1988" i="1" s="1"/>
  <c r="G1989" i="1" a="1"/>
  <c r="G1989" i="1" s="1"/>
  <c r="F1998" i="1" a="1"/>
  <c r="F1998" i="1" s="1"/>
  <c r="F1999" i="1" s="1" a="1"/>
  <c r="F1999" i="1" s="1"/>
  <c r="H1998" i="1" a="1"/>
  <c r="H1998" i="1" s="1"/>
  <c r="H1999" i="1" s="1" a="1"/>
  <c r="H1999" i="1" s="1"/>
  <c r="G1986" i="1" a="1"/>
  <c r="G1986" i="1" s="1"/>
  <c r="F1986" i="1" a="1"/>
  <c r="F1986" i="1" s="1"/>
  <c r="K1985" i="1" a="1"/>
  <c r="K1985" i="1" s="1"/>
  <c r="I1979" i="1" a="1"/>
  <c r="I1979" i="1" s="1"/>
  <c r="I1985" i="1" a="1"/>
  <c r="I1985" i="1" s="1"/>
  <c r="I1977" i="1" a="1"/>
  <c r="I1977" i="1" s="1"/>
  <c r="F1985" i="1" a="1"/>
  <c r="F1985" i="1" s="1"/>
  <c r="J1984" i="1" a="1"/>
  <c r="J1984" i="1" s="1"/>
  <c r="K1980" i="1" a="1"/>
  <c r="K1980" i="1" s="1"/>
  <c r="I1984" i="1" a="1"/>
  <c r="I1984" i="1" s="1"/>
  <c r="I1983" i="1" a="1"/>
  <c r="I1983" i="1"/>
  <c r="H1983" i="1" a="1"/>
  <c r="H1983" i="1" s="1"/>
  <c r="F1979" i="1" a="1"/>
  <c r="F1979" i="1" s="1"/>
  <c r="K1981" i="1" a="1"/>
  <c r="K1981" i="1" s="1"/>
  <c r="G1983" i="1" a="1"/>
  <c r="G1983" i="1" s="1"/>
  <c r="F1983" i="1" a="1"/>
  <c r="F1983" i="1" s="1"/>
  <c r="J1982" i="1" a="1"/>
  <c r="J1982" i="1" s="1"/>
  <c r="J1977" i="1" a="1"/>
  <c r="J1977" i="1" s="1"/>
  <c r="G1982" i="1" a="1"/>
  <c r="G1982" i="1" s="1"/>
  <c r="G1981" i="1" a="1"/>
  <c r="G1981" i="1" s="1"/>
  <c r="F1982" i="1" a="1"/>
  <c r="F1982" i="1" s="1"/>
  <c r="I1981" i="1" a="1"/>
  <c r="I1981" i="1" s="1"/>
  <c r="F1978" i="1" a="1"/>
  <c r="F1978" i="1" s="1"/>
  <c r="G1979" i="1" a="1"/>
  <c r="G1979" i="1" s="1"/>
  <c r="H1977" i="1" a="1"/>
  <c r="H1977" i="1" s="1"/>
  <c r="H1979" i="1" a="1"/>
  <c r="H1979" i="1" s="1"/>
  <c r="H1980" i="1" a="1"/>
  <c r="H1980" i="1" s="1"/>
  <c r="J1979" i="1" a="1"/>
  <c r="J1979" i="1" s="1"/>
  <c r="H1981" i="1" a="1"/>
  <c r="H1981" i="1" s="1"/>
  <c r="K1987" i="1" a="1"/>
  <c r="K1987" i="1" s="1"/>
  <c r="J1987" i="1" a="1"/>
  <c r="J1987" i="1" s="1"/>
  <c r="G1987" i="1" a="1"/>
  <c r="G1987" i="1" s="1"/>
  <c r="I1987" i="1" a="1"/>
  <c r="I1987" i="1" s="1"/>
  <c r="H1985" i="1" a="1"/>
  <c r="H1985" i="1" s="1"/>
  <c r="I1982" i="1" a="1"/>
  <c r="I1982" i="1" s="1"/>
  <c r="H1987" i="1" a="1"/>
  <c r="H1987" i="1" s="1"/>
  <c r="F1987" i="1" a="1"/>
  <c r="F1987" i="1" s="1"/>
  <c r="J1980" i="1" a="1"/>
  <c r="J1980" i="1" s="1"/>
  <c r="F1980" i="1" a="1"/>
  <c r="F1980" i="1" s="1"/>
  <c r="K1983" i="1" a="1"/>
  <c r="K1983" i="1" s="1"/>
  <c r="H1978" i="1" a="1"/>
  <c r="H1978" i="1" s="1"/>
  <c r="K1986" i="1" a="1"/>
  <c r="K1986" i="1" s="1"/>
  <c r="J1986" i="1" a="1"/>
  <c r="J1986" i="1" s="1"/>
  <c r="G1985" i="1" a="1"/>
  <c r="G1985" i="1" s="1"/>
  <c r="K1984" i="1" a="1"/>
  <c r="K1984" i="1" s="1"/>
  <c r="J1981" i="1" a="1"/>
  <c r="J1981" i="1" s="1"/>
  <c r="K1979" i="1" a="1"/>
  <c r="K1979" i="1" s="1"/>
  <c r="K1977" i="1" a="1"/>
  <c r="K1977" i="1" s="1"/>
  <c r="I1986" i="1" a="1"/>
  <c r="I1986" i="1" s="1"/>
  <c r="G1984" i="1" a="1"/>
  <c r="G1984" i="1" s="1"/>
  <c r="G1980" i="1" a="1"/>
  <c r="G1980" i="1" s="1"/>
  <c r="F1984" i="1" a="1"/>
  <c r="F1984" i="1" s="1"/>
  <c r="J1983" i="1" a="1"/>
  <c r="J1983" i="1" s="1"/>
  <c r="K1982" i="1" a="1"/>
  <c r="K1982" i="1" s="1"/>
  <c r="J1978" i="1" a="1"/>
  <c r="J1978" i="1" s="1"/>
  <c r="F1981" i="1" a="1"/>
  <c r="F1981" i="1" s="1"/>
  <c r="H1982" i="1" a="1"/>
  <c r="H1982" i="1" s="1"/>
  <c r="G1978" i="1" a="1"/>
  <c r="G1978" i="1" s="1"/>
  <c r="J1985" i="1" a="1"/>
  <c r="J1985" i="1" s="1"/>
  <c r="I1980" i="1" a="1"/>
  <c r="I1980" i="1" s="1"/>
  <c r="K1978" i="1" a="1"/>
  <c r="K1978" i="1" s="1"/>
  <c r="I1978" i="1" a="1"/>
  <c r="I1978" i="1" s="1"/>
  <c r="H1984" i="1" a="1"/>
  <c r="H1984" i="1" s="1"/>
  <c r="H1986" i="1" a="1"/>
  <c r="H1986" i="1" s="1"/>
  <c r="J1970" i="1" a="1"/>
  <c r="J1970" i="1" s="1"/>
  <c r="F1970" i="1" a="1"/>
  <c r="F1970" i="1" s="1"/>
  <c r="K1969" i="1" a="1"/>
  <c r="K1969" i="1" s="1"/>
  <c r="G1969" i="1" a="1"/>
  <c r="G1969" i="1" s="1"/>
  <c r="I1972" i="1" a="1"/>
  <c r="I1972" i="1" s="1"/>
  <c r="K1971" i="1" a="1"/>
  <c r="K1971" i="1" s="1"/>
  <c r="K1968" i="1" a="1"/>
  <c r="K1968" i="1" s="1"/>
  <c r="K1970" i="1" a="1"/>
  <c r="K1970" i="1" s="1"/>
  <c r="K1967" i="1" a="1"/>
  <c r="K1967" i="1" s="1"/>
  <c r="I1967" i="1" a="1"/>
  <c r="I1967" i="1" s="1"/>
  <c r="F1967" i="1" a="1"/>
  <c r="F1967" i="1" s="1"/>
  <c r="J1967" i="1" a="1"/>
  <c r="J1967" i="1" s="1"/>
  <c r="F1974" i="1" a="1"/>
  <c r="F1974" i="1" s="1"/>
  <c r="F1968" i="1" a="1"/>
  <c r="F1968" i="1" s="1"/>
  <c r="G1967" i="1" a="1"/>
  <c r="G1967" i="1" s="1"/>
  <c r="F1972" i="1" a="1"/>
  <c r="F1972" i="1" s="1"/>
  <c r="J1972" i="1" a="1"/>
  <c r="J1972" i="1" s="1"/>
  <c r="H1972" i="1" a="1"/>
  <c r="H1972" i="1" s="1"/>
  <c r="G1971" i="1" a="1"/>
  <c r="G1971" i="1" s="1"/>
  <c r="H1967" i="1" a="1"/>
  <c r="H1967" i="1" s="1"/>
  <c r="G1970" i="1" a="1"/>
  <c r="G1970" i="1" s="1"/>
  <c r="I1969" i="1" a="1"/>
  <c r="I1969" i="1" s="1"/>
  <c r="F1969" i="1" a="1"/>
  <c r="F1969" i="1" s="1"/>
  <c r="H1969" i="1" a="1"/>
  <c r="H1969" i="1" s="1"/>
  <c r="H1968" i="1" a="1"/>
  <c r="H1968" i="1" s="1"/>
  <c r="K1966" i="1" a="1"/>
  <c r="K1966" i="1" s="1"/>
  <c r="G1977" i="1" a="1"/>
  <c r="G1977" i="1" s="1"/>
  <c r="F1977" i="1" a="1"/>
  <c r="F1977" i="1" s="1"/>
  <c r="K1976" i="1" a="1"/>
  <c r="K1976" i="1" s="1"/>
  <c r="G1975" i="1" a="1"/>
  <c r="G1975" i="1" s="1"/>
  <c r="I1971" i="1" a="1"/>
  <c r="I1971" i="1" s="1"/>
  <c r="J1969" i="1" a="1"/>
  <c r="J1969" i="1" s="1"/>
  <c r="K1975" i="1" a="1"/>
  <c r="K1975" i="1" s="1"/>
  <c r="J1976" i="1" a="1"/>
  <c r="J1976" i="1" s="1"/>
  <c r="I1976" i="1" a="1"/>
  <c r="I1976" i="1" s="1"/>
  <c r="H1976" i="1" a="1"/>
  <c r="H1976" i="1" s="1"/>
  <c r="G1976" i="1" a="1"/>
  <c r="G1976" i="1" s="1"/>
  <c r="F1976" i="1" a="1"/>
  <c r="F1976" i="1" s="1"/>
  <c r="J1975" i="1" a="1"/>
  <c r="J1975" i="1" s="1"/>
  <c r="H1970" i="1" a="1"/>
  <c r="H1970" i="1" s="1"/>
  <c r="I1975" i="1" a="1"/>
  <c r="I1975" i="1" s="1"/>
  <c r="J1968" i="1" a="1"/>
  <c r="J1968" i="1" s="1"/>
  <c r="F1971" i="1" a="1"/>
  <c r="F1971" i="1" s="1"/>
  <c r="I1970" i="1" a="1"/>
  <c r="I1970" i="1" s="1"/>
  <c r="H1975" i="1" a="1"/>
  <c r="H1975" i="1" s="1"/>
  <c r="F1975" i="1" a="1"/>
  <c r="F1975" i="1" s="1"/>
  <c r="K1974" i="1" a="1"/>
  <c r="K1974" i="1" s="1"/>
  <c r="J1974" i="1" a="1"/>
  <c r="J1974" i="1" s="1"/>
  <c r="I1974" i="1" a="1"/>
  <c r="I1974" i="1" s="1"/>
  <c r="H1974" i="1" a="1"/>
  <c r="H1974" i="1" s="1"/>
  <c r="I1968" i="1" a="1"/>
  <c r="I1968" i="1" s="1"/>
  <c r="G1974" i="1" a="1"/>
  <c r="G1974" i="1" s="1"/>
  <c r="K1972" i="1" a="1"/>
  <c r="K1972" i="1" s="1"/>
  <c r="J1971" i="1" a="1"/>
  <c r="J1971" i="1" s="1"/>
  <c r="H1971" i="1" a="1"/>
  <c r="H1971" i="1" s="1"/>
  <c r="G1968" i="1" a="1"/>
  <c r="G1968" i="1" s="1"/>
  <c r="G1972" i="1" a="1"/>
  <c r="G1972" i="1" s="1"/>
  <c r="H1964" i="1" a="1"/>
  <c r="H1964" i="1" s="1"/>
  <c r="G1964" i="1" a="1"/>
  <c r="G1964" i="1" s="1"/>
  <c r="J1956" i="1" a="1"/>
  <c r="J1956" i="1" s="1"/>
  <c r="F1964" i="1" a="1"/>
  <c r="F1964" i="1" s="1"/>
  <c r="K1963" i="1" a="1"/>
  <c r="K1963" i="1" s="1"/>
  <c r="J1963" i="1" a="1"/>
  <c r="J1963" i="1" s="1"/>
  <c r="I1963" i="1" a="1"/>
  <c r="I1963" i="1" s="1"/>
  <c r="H1963" i="1" a="1"/>
  <c r="H1963" i="1" s="1"/>
  <c r="G1963" i="1" a="1"/>
  <c r="G1963" i="1" s="1"/>
  <c r="K1960" i="1" a="1"/>
  <c r="K1960" i="1"/>
  <c r="F1963" i="1" a="1"/>
  <c r="F1963" i="1" s="1"/>
  <c r="H1962" i="1" a="1"/>
  <c r="H1962" i="1" s="1"/>
  <c r="J1960" i="1" a="1"/>
  <c r="J1960" i="1" s="1"/>
  <c r="J1958" i="1" a="1"/>
  <c r="J1958" i="1" s="1"/>
  <c r="G1958" i="1" a="1"/>
  <c r="G1958" i="1" s="1"/>
  <c r="K1956" i="1" a="1"/>
  <c r="K1956" i="1" s="1"/>
  <c r="F1958" i="1" a="1"/>
  <c r="F1958" i="1" s="1"/>
  <c r="H1961" i="1" a="1"/>
  <c r="H1961" i="1" s="1"/>
  <c r="F1960" i="1" a="1"/>
  <c r="F1960" i="1" s="1"/>
  <c r="H1959" i="1" a="1"/>
  <c r="H1959" i="1" s="1"/>
  <c r="I1958" i="1" a="1"/>
  <c r="I1958" i="1" s="1"/>
  <c r="K1957" i="1" a="1"/>
  <c r="K1957" i="1" s="1"/>
  <c r="F1957" i="1" a="1"/>
  <c r="F1957" i="1" s="1"/>
  <c r="J1962" i="1" a="1"/>
  <c r="J1962" i="1" s="1"/>
  <c r="G1962" i="1" a="1"/>
  <c r="G1962" i="1" s="1"/>
  <c r="I1961" i="1" a="1"/>
  <c r="I1961" i="1" s="1"/>
  <c r="H1960" i="1" a="1"/>
  <c r="H1960" i="1" s="1"/>
  <c r="G1959" i="1" a="1"/>
  <c r="G1959" i="1" s="1"/>
  <c r="F1961" i="1" a="1"/>
  <c r="F1961" i="1" s="1"/>
  <c r="I1960" i="1" a="1"/>
  <c r="I1960" i="1" s="1"/>
  <c r="J1959" i="1" a="1"/>
  <c r="J1959" i="1" s="1"/>
  <c r="G1957" i="1" a="1"/>
  <c r="G1957" i="1" s="1"/>
  <c r="I1956" i="1" a="1"/>
  <c r="I1956" i="1" s="1"/>
  <c r="J1966" i="1" a="1"/>
  <c r="J1966" i="1" s="1"/>
  <c r="I1966" i="1" a="1"/>
  <c r="I1966" i="1" s="1"/>
  <c r="H1966" i="1" a="1"/>
  <c r="H1966" i="1" s="1"/>
  <c r="G1966" i="1" a="1"/>
  <c r="G1966" i="1" s="1"/>
  <c r="F1966" i="1" a="1"/>
  <c r="F1966" i="1" s="1"/>
  <c r="K1965" i="1" a="1"/>
  <c r="K1965" i="1" s="1"/>
  <c r="J1965" i="1" a="1"/>
  <c r="J1965" i="1"/>
  <c r="G1965" i="1" a="1"/>
  <c r="G1965" i="1" s="1"/>
  <c r="J1957" i="1" a="1"/>
  <c r="J1957" i="1" s="1"/>
  <c r="J1964" i="1" a="1"/>
  <c r="J1964" i="1" s="1"/>
  <c r="I1962" i="1" a="1"/>
  <c r="I1962" i="1" s="1"/>
  <c r="H1957" i="1" a="1"/>
  <c r="H1957" i="1" s="1"/>
  <c r="H1958" i="1" a="1"/>
  <c r="H1958" i="1" s="1"/>
  <c r="K1958" i="1" a="1"/>
  <c r="K1958" i="1" s="1"/>
  <c r="G1961" i="1" a="1"/>
  <c r="G1961" i="1" s="1"/>
  <c r="I1965" i="1" a="1"/>
  <c r="I1965" i="1" s="1"/>
  <c r="H1965" i="1" a="1"/>
  <c r="H1965" i="1"/>
  <c r="K1961" i="1" a="1"/>
  <c r="K1961" i="1" s="1"/>
  <c r="I1959" i="1" a="1"/>
  <c r="I1959" i="1" s="1"/>
  <c r="K1959" i="1" a="1"/>
  <c r="K1959" i="1" s="1"/>
  <c r="K1964" i="1" a="1"/>
  <c r="K1964" i="1" s="1"/>
  <c r="I1957" i="1" a="1"/>
  <c r="I1957" i="1" s="1"/>
  <c r="J1961" i="1" a="1"/>
  <c r="J1961" i="1" s="1"/>
  <c r="K1962" i="1" a="1"/>
  <c r="K1962" i="1" s="1"/>
  <c r="F1965" i="1" a="1"/>
  <c r="F1965" i="1" s="1"/>
  <c r="G1960" i="1" a="1"/>
  <c r="G1960" i="1" s="1"/>
  <c r="F1962" i="1" a="1"/>
  <c r="F1962" i="1" s="1"/>
  <c r="I1964" i="1" a="1"/>
  <c r="I1964" i="1" s="1"/>
  <c r="F1959" i="1" a="1"/>
  <c r="F1959" i="1" s="1"/>
  <c r="J1951" i="1" a="1"/>
  <c r="J1951" i="1" s="1"/>
  <c r="H1947" i="1" a="1"/>
  <c r="H1947" i="1" s="1"/>
  <c r="F1951" i="1" a="1"/>
  <c r="F1951" i="1" s="1"/>
  <c r="K1953" i="1" a="1"/>
  <c r="K1953" i="1" s="1"/>
  <c r="K1950" i="1" a="1"/>
  <c r="K1950" i="1" s="1"/>
  <c r="I1947" i="1" a="1"/>
  <c r="I1947" i="1" s="1"/>
  <c r="F1953" i="1" a="1"/>
  <c r="F1953" i="1" s="1"/>
  <c r="H1951" i="1" a="1"/>
  <c r="H1951" i="1"/>
  <c r="K1952" i="1" a="1"/>
  <c r="K1952" i="1" s="1"/>
  <c r="J1947" i="1" a="1"/>
  <c r="J1947" i="1" s="1"/>
  <c r="G1947" i="1" a="1"/>
  <c r="G1947" i="1" s="1"/>
  <c r="K1947" i="1" a="1"/>
  <c r="K1947" i="1" s="1"/>
  <c r="F1947" i="1" a="1"/>
  <c r="F1947" i="1" s="1"/>
  <c r="F1952" i="1" a="1"/>
  <c r="F1952" i="1" s="1"/>
  <c r="I1948" i="1" a="1"/>
  <c r="I1948" i="1" s="1"/>
  <c r="J1946" i="1" a="1"/>
  <c r="J1946" i="1" s="1"/>
  <c r="K1946" i="1" a="1"/>
  <c r="K1946" i="1" s="1"/>
  <c r="H1956" i="1" a="1"/>
  <c r="H1956" i="1" s="1"/>
  <c r="G1956" i="1" a="1"/>
  <c r="G1956" i="1" s="1"/>
  <c r="H1954" i="1" a="1"/>
  <c r="H1954" i="1" s="1"/>
  <c r="H1953" i="1" a="1"/>
  <c r="H1953" i="1" s="1"/>
  <c r="H1952" i="1" a="1"/>
  <c r="H1952" i="1" s="1"/>
  <c r="J1950" i="1" a="1"/>
  <c r="J1950" i="1" s="1"/>
  <c r="F1946" i="1" a="1"/>
  <c r="F1946" i="1" s="1"/>
  <c r="F1956" i="1" a="1"/>
  <c r="F1956" i="1" s="1"/>
  <c r="J1954" i="1" a="1"/>
  <c r="J1954" i="1" s="1"/>
  <c r="H1948" i="1" a="1"/>
  <c r="H1948" i="1" s="1"/>
  <c r="H1955" i="1" a="1"/>
  <c r="H1955" i="1"/>
  <c r="I1953" i="1" a="1"/>
  <c r="I1953" i="1" s="1"/>
  <c r="K1945" i="1" a="1"/>
  <c r="K1945" i="1" s="1"/>
  <c r="I1952" i="1" a="1"/>
  <c r="I1952" i="1" s="1"/>
  <c r="J1945" i="1" a="1"/>
  <c r="J1945" i="1" s="1"/>
  <c r="H1945" i="1" a="1"/>
  <c r="H1945" i="1" s="1"/>
  <c r="I1955" i="1" a="1"/>
  <c r="I1955" i="1" s="1"/>
  <c r="K1955" i="1" a="1"/>
  <c r="K1955" i="1" s="1"/>
  <c r="J1955" i="1" a="1"/>
  <c r="J1955" i="1" s="1"/>
  <c r="G1955" i="1" a="1"/>
  <c r="G1955" i="1" s="1"/>
  <c r="F1955" i="1" a="1"/>
  <c r="F1955" i="1" s="1"/>
  <c r="K1954" i="1" a="1"/>
  <c r="K1954" i="1" s="1"/>
  <c r="J1953" i="1" a="1"/>
  <c r="J1953" i="1" s="1"/>
  <c r="G1953" i="1" a="1"/>
  <c r="G1953" i="1" s="1"/>
  <c r="I1951" i="1" a="1"/>
  <c r="I1951" i="1" s="1"/>
  <c r="F1950" i="1" a="1"/>
  <c r="F1950" i="1" s="1"/>
  <c r="K1948" i="1" a="1"/>
  <c r="K1948" i="1" s="1"/>
  <c r="J1948" i="1" a="1"/>
  <c r="J1948" i="1" s="1"/>
  <c r="G1952" i="1" a="1"/>
  <c r="G1952" i="1" s="1"/>
  <c r="F1948" i="1" a="1"/>
  <c r="F1948" i="1" s="1"/>
  <c r="J1952" i="1" a="1"/>
  <c r="J1952" i="1"/>
  <c r="I1954" i="1" a="1"/>
  <c r="I1954" i="1" s="1"/>
  <c r="K1951" i="1" a="1"/>
  <c r="K1951" i="1" s="1"/>
  <c r="H1950" i="1" a="1"/>
  <c r="H1950" i="1" s="1"/>
  <c r="I1945" i="1" a="1"/>
  <c r="I1945" i="1" s="1"/>
  <c r="G1951" i="1" a="1"/>
  <c r="G1951" i="1" s="1"/>
  <c r="G1950" i="1" a="1"/>
  <c r="G1950" i="1" s="1"/>
  <c r="I1946" i="1" a="1"/>
  <c r="I1946" i="1" s="1"/>
  <c r="I1950" i="1" a="1"/>
  <c r="I1950" i="1" s="1"/>
  <c r="H1946" i="1" a="1"/>
  <c r="H1946" i="1" s="1"/>
  <c r="G1946" i="1" a="1"/>
  <c r="G1946" i="1" s="1"/>
  <c r="G1948" i="1" a="1"/>
  <c r="G1948" i="1" s="1"/>
  <c r="G1954" i="1" a="1"/>
  <c r="G1954" i="1" s="1"/>
  <c r="F1954" i="1" a="1"/>
  <c r="F1954" i="1" s="1"/>
  <c r="J1938" i="1" a="1"/>
  <c r="J1938" i="1" s="1"/>
  <c r="K1944" i="1" a="1"/>
  <c r="K1944" i="1" s="1"/>
  <c r="I1943" i="1" a="1"/>
  <c r="I1943" i="1" s="1"/>
  <c r="I1938" i="1" a="1"/>
  <c r="I1938" i="1" s="1"/>
  <c r="G1939" i="1" a="1"/>
  <c r="G1939" i="1" s="1"/>
  <c r="I1936" i="1" a="1"/>
  <c r="I1936" i="1" s="1"/>
  <c r="I1941" i="1" a="1"/>
  <c r="I1941" i="1" s="1"/>
  <c r="G1941" i="1" a="1"/>
  <c r="G1941" i="1" s="1"/>
  <c r="J1940" i="1" a="1"/>
  <c r="J1940" i="1" s="1"/>
  <c r="H1940" i="1" a="1"/>
  <c r="H1940" i="1" s="1"/>
  <c r="G1938" i="1" a="1"/>
  <c r="G1938" i="1" s="1"/>
  <c r="G1936" i="1" a="1"/>
  <c r="G1936" i="1" s="1"/>
  <c r="G1935" i="1" a="1"/>
  <c r="G1935" i="1" s="1"/>
  <c r="H1939" i="1" a="1"/>
  <c r="H1939" i="1" s="1"/>
  <c r="H1935" i="1" a="1"/>
  <c r="H1935" i="1" s="1"/>
  <c r="H1937" i="1" a="1"/>
  <c r="H1937" i="1" s="1"/>
  <c r="J1944" i="1" a="1"/>
  <c r="J1944" i="1" s="1"/>
  <c r="G1937" i="1" a="1"/>
  <c r="G1937" i="1" s="1"/>
  <c r="G1944" i="1" a="1"/>
  <c r="G1944" i="1" s="1"/>
  <c r="J1942" i="1" a="1"/>
  <c r="J1942" i="1" s="1"/>
  <c r="J1941" i="1" a="1"/>
  <c r="J1941" i="1" s="1"/>
  <c r="I1939" i="1" a="1"/>
  <c r="I1939" i="1" s="1"/>
  <c r="K1937" i="1" a="1"/>
  <c r="K1937" i="1" s="1"/>
  <c r="H1944" i="1" a="1"/>
  <c r="H1944" i="1" s="1"/>
  <c r="J1939" i="1" a="1"/>
  <c r="J1939" i="1" s="1"/>
  <c r="F1938" i="1" a="1"/>
  <c r="F1938" i="1" s="1"/>
  <c r="J1937" i="1" a="1"/>
  <c r="J1937" i="1"/>
  <c r="K1935" i="1" a="1"/>
  <c r="K1935" i="1" s="1"/>
  <c r="K1941" i="1" a="1"/>
  <c r="K1941" i="1" s="1"/>
  <c r="K1939" i="1" a="1"/>
  <c r="K1939" i="1" s="1"/>
  <c r="J1936" i="1" a="1"/>
  <c r="J1936" i="1" s="1"/>
  <c r="J1934" i="1" a="1"/>
  <c r="J1934" i="1" s="1"/>
  <c r="F1944" i="1" a="1"/>
  <c r="F1944" i="1" s="1"/>
  <c r="F1940" i="1" a="1"/>
  <c r="F1940" i="1" s="1"/>
  <c r="F1939" i="1" a="1"/>
  <c r="F1939" i="1" s="1"/>
  <c r="K1943" i="1" a="1"/>
  <c r="K1943" i="1" s="1"/>
  <c r="H1943" i="1" a="1"/>
  <c r="H1943" i="1"/>
  <c r="G1943" i="1" a="1"/>
  <c r="G1943" i="1" s="1"/>
  <c r="I1942" i="1" a="1"/>
  <c r="I1942" i="1" s="1"/>
  <c r="F1943" i="1" a="1"/>
  <c r="F1943" i="1" s="1"/>
  <c r="H1941" i="1" a="1"/>
  <c r="H1941" i="1" s="1"/>
  <c r="K1942" i="1" a="1"/>
  <c r="K1942" i="1" s="1"/>
  <c r="H1942" i="1" a="1"/>
  <c r="H1942" i="1" s="1"/>
  <c r="F1942" i="1" a="1"/>
  <c r="F1942" i="1" s="1"/>
  <c r="K1940" i="1" a="1"/>
  <c r="K1940" i="1" s="1"/>
  <c r="K1934" i="1" a="1"/>
  <c r="K1934" i="1" s="1"/>
  <c r="J1935" i="1" a="1"/>
  <c r="J1935" i="1" s="1"/>
  <c r="I1940" i="1" a="1"/>
  <c r="I1940" i="1" s="1"/>
  <c r="K1938" i="1" a="1"/>
  <c r="K1938" i="1" s="1"/>
  <c r="I1937" i="1" a="1"/>
  <c r="I1937" i="1" s="1"/>
  <c r="F1941" i="1" a="1"/>
  <c r="F1941" i="1" s="1"/>
  <c r="K1936" i="1" a="1"/>
  <c r="K1936" i="1" s="1"/>
  <c r="H1936" i="1" a="1"/>
  <c r="H1936" i="1" s="1"/>
  <c r="G1942" i="1" a="1"/>
  <c r="G1942" i="1" s="1"/>
  <c r="G1940" i="1" a="1"/>
  <c r="G1940" i="1" s="1"/>
  <c r="F1935" i="1" a="1"/>
  <c r="F1935" i="1" s="1"/>
  <c r="F1936" i="1" a="1"/>
  <c r="F1936" i="1" s="1"/>
  <c r="H1938" i="1" a="1"/>
  <c r="H1938" i="1" s="1"/>
  <c r="F1937" i="1" a="1"/>
  <c r="F1937" i="1" s="1"/>
  <c r="I1944" i="1" a="1"/>
  <c r="I1944" i="1" s="1"/>
  <c r="I1935" i="1" a="1"/>
  <c r="I1935" i="1" s="1"/>
  <c r="G1945" i="1" a="1"/>
  <c r="G1945" i="1" s="1"/>
  <c r="F1945" i="1" a="1"/>
  <c r="F1945" i="1" s="1"/>
  <c r="J1943" i="1" a="1"/>
  <c r="J1943" i="1" s="1"/>
  <c r="F1928" i="1" a="1"/>
  <c r="F1928" i="1" s="1"/>
  <c r="F1931" i="1" a="1"/>
  <c r="F1931" i="1" s="1"/>
  <c r="G1933" i="1" a="1"/>
  <c r="G1933" i="1" s="1"/>
  <c r="F1934" i="1" a="1"/>
  <c r="F1934" i="1" s="1"/>
  <c r="H1931" i="1" a="1"/>
  <c r="H1931" i="1" s="1"/>
  <c r="H1927" i="1" a="1"/>
  <c r="H1927" i="1" s="1"/>
  <c r="H1933" i="1" a="1"/>
  <c r="H1933" i="1" s="1"/>
  <c r="F1925" i="1" a="1"/>
  <c r="F1925" i="1" s="1"/>
  <c r="G1927" i="1" a="1"/>
  <c r="G1927" i="1" s="1"/>
  <c r="G1926" i="1" a="1"/>
  <c r="G1926" i="1" s="1"/>
  <c r="I1931" i="1" a="1"/>
  <c r="I1931" i="1" s="1"/>
  <c r="F1924" i="1" a="1"/>
  <c r="F1924" i="1" s="1"/>
  <c r="J1931" i="1" a="1"/>
  <c r="J1931" i="1" s="1"/>
  <c r="I1926" i="1" a="1"/>
  <c r="I1926" i="1" s="1"/>
  <c r="F1933" i="1" a="1"/>
  <c r="F1933" i="1" s="1"/>
  <c r="K1930" i="1" a="1"/>
  <c r="K1930" i="1" s="1"/>
  <c r="I1927" i="1" a="1"/>
  <c r="I1927" i="1" s="1"/>
  <c r="H1925" i="1" a="1"/>
  <c r="H1925" i="1" s="1"/>
  <c r="F1932" i="1" a="1"/>
  <c r="F1932" i="1" s="1"/>
  <c r="K1932" i="1" a="1"/>
  <c r="K1932" i="1" s="1"/>
  <c r="F1930" i="1" a="1"/>
  <c r="F1930" i="1" s="1"/>
  <c r="I1929" i="1" a="1"/>
  <c r="I1929" i="1" s="1"/>
  <c r="I1928" i="1" a="1"/>
  <c r="I1928" i="1"/>
  <c r="G1928" i="1" a="1"/>
  <c r="G1928" i="1" s="1"/>
  <c r="K1933" i="1" a="1"/>
  <c r="K1933" i="1" s="1"/>
  <c r="J1933" i="1" a="1"/>
  <c r="J1933" i="1" s="1"/>
  <c r="G1924" i="1" a="1"/>
  <c r="G1924" i="1" s="1"/>
  <c r="I1924" i="1" a="1"/>
  <c r="I1924" i="1" s="1"/>
  <c r="I1933" i="1" a="1"/>
  <c r="I1933" i="1" s="1"/>
  <c r="K1928" i="1" a="1"/>
  <c r="K1928" i="1" s="1"/>
  <c r="J1932" i="1" a="1"/>
  <c r="J1932" i="1" s="1"/>
  <c r="I1932" i="1" a="1"/>
  <c r="I1932" i="1" s="1"/>
  <c r="H1932" i="1" a="1"/>
  <c r="H1932" i="1" s="1"/>
  <c r="G1932" i="1" a="1"/>
  <c r="G1932" i="1" s="1"/>
  <c r="F1927" i="1" a="1"/>
  <c r="F1927" i="1" s="1"/>
  <c r="G1930" i="1" a="1"/>
  <c r="G1930" i="1" s="1"/>
  <c r="J1924" i="1" a="1"/>
  <c r="J1924" i="1" s="1"/>
  <c r="H1929" i="1" a="1"/>
  <c r="H1929" i="1" s="1"/>
  <c r="G1925" i="1" a="1"/>
  <c r="G1925" i="1" s="1"/>
  <c r="G1929" i="1" a="1"/>
  <c r="G1929" i="1" s="1"/>
  <c r="J1928" i="1" a="1"/>
  <c r="J1928" i="1" s="1"/>
  <c r="H1928" i="1" a="1"/>
  <c r="H1928" i="1" s="1"/>
  <c r="K1926" i="1" a="1"/>
  <c r="K1926" i="1" s="1"/>
  <c r="I1925" i="1" a="1"/>
  <c r="I1925" i="1" s="1"/>
  <c r="K1925" i="1" a="1"/>
  <c r="K1925" i="1" s="1"/>
  <c r="K1927" i="1" a="1"/>
  <c r="K1927" i="1" s="1"/>
  <c r="H1926" i="1" a="1"/>
  <c r="H1926" i="1" s="1"/>
  <c r="F1926" i="1" a="1"/>
  <c r="F1926" i="1" s="1"/>
  <c r="J1930" i="1" a="1"/>
  <c r="J1930" i="1" s="1"/>
  <c r="H1924" i="1" a="1"/>
  <c r="H1924" i="1" s="1"/>
  <c r="I1930" i="1" a="1"/>
  <c r="I1930" i="1" s="1"/>
  <c r="H1930" i="1" a="1"/>
  <c r="H1930" i="1" s="1"/>
  <c r="K1929" i="1" a="1"/>
  <c r="K1929" i="1"/>
  <c r="J1929" i="1" a="1"/>
  <c r="J1929" i="1" s="1"/>
  <c r="J1926" i="1" a="1"/>
  <c r="J1926" i="1" s="1"/>
  <c r="F1929" i="1" a="1"/>
  <c r="F1929" i="1" s="1"/>
  <c r="J1925" i="1" a="1"/>
  <c r="J1925" i="1" s="1"/>
  <c r="K1924" i="1" a="1"/>
  <c r="K1924" i="1" s="1"/>
  <c r="I1934" i="1" a="1"/>
  <c r="I1934" i="1" s="1"/>
  <c r="H1934" i="1" a="1"/>
  <c r="H1934" i="1" s="1"/>
  <c r="G1934" i="1" a="1"/>
  <c r="G1934" i="1" s="1"/>
  <c r="K1931" i="1" a="1"/>
  <c r="K1931" i="1" s="1"/>
  <c r="G1931" i="1" a="1"/>
  <c r="G1931" i="1"/>
  <c r="J1927" i="1" a="1"/>
  <c r="J1927" i="1" s="1"/>
  <c r="K1917" i="1" a="1"/>
  <c r="K1917" i="1" s="1"/>
  <c r="F1917" i="1" a="1"/>
  <c r="F1917" i="1" s="1"/>
  <c r="K1913" i="1" a="1"/>
  <c r="K1913" i="1" s="1"/>
  <c r="J1916" i="1" a="1"/>
  <c r="J1916" i="1" s="1"/>
  <c r="K1921" i="1" a="1"/>
  <c r="K1921" i="1" s="1"/>
  <c r="I1921" i="1" a="1"/>
  <c r="I1921" i="1" s="1"/>
  <c r="G1921" i="1" a="1"/>
  <c r="G1921" i="1" s="1"/>
  <c r="I1920" i="1" a="1"/>
  <c r="I1920" i="1" s="1"/>
  <c r="J1920" i="1" a="1"/>
  <c r="J1920" i="1" s="1"/>
  <c r="G1920" i="1" a="1"/>
  <c r="G1920" i="1" s="1"/>
  <c r="H1919" i="1" a="1"/>
  <c r="H1919" i="1" s="1"/>
  <c r="G1917" i="1" a="1"/>
  <c r="G1917" i="1" s="1"/>
  <c r="J1915" i="1" a="1"/>
  <c r="J1915" i="1" s="1"/>
  <c r="I1918" i="1" a="1"/>
  <c r="I1918" i="1" s="1"/>
  <c r="F1916" i="1" a="1"/>
  <c r="F1916" i="1" s="1"/>
  <c r="H1914" i="1" a="1"/>
  <c r="H1914" i="1" s="1"/>
  <c r="F1915" i="1" a="1"/>
  <c r="F1915" i="1" s="1"/>
  <c r="G1914" i="1" a="1"/>
  <c r="G1914" i="1" s="1"/>
  <c r="F1921" i="1" a="1"/>
  <c r="F1921" i="1"/>
  <c r="I1916" i="1" a="1"/>
  <c r="I1916" i="1" s="1"/>
  <c r="J1913" i="1" a="1"/>
  <c r="J1913" i="1" s="1"/>
  <c r="I1917" i="1" a="1"/>
  <c r="I1917" i="1" s="1"/>
  <c r="K1918" i="1" a="1"/>
  <c r="K1918" i="1" s="1"/>
  <c r="K1919" i="1" a="1"/>
  <c r="K1919" i="1" s="1"/>
  <c r="I1914" i="1" a="1"/>
  <c r="I1914" i="1" s="1"/>
  <c r="J1917" i="1" a="1"/>
  <c r="J1917" i="1" s="1"/>
  <c r="G1915" i="1" a="1"/>
  <c r="G1915" i="1" s="1"/>
  <c r="I1913" i="1" a="1"/>
  <c r="I1913" i="1" s="1"/>
  <c r="K1923" i="1" a="1"/>
  <c r="K1923" i="1" s="1"/>
  <c r="J1923" i="1" a="1"/>
  <c r="J1923" i="1" s="1"/>
  <c r="G1922" i="1" a="1"/>
  <c r="G1922" i="1" s="1"/>
  <c r="K1916" i="1" a="1"/>
  <c r="K1916" i="1" s="1"/>
  <c r="I1923" i="1" a="1"/>
  <c r="I1923" i="1" s="1"/>
  <c r="K1920" i="1" a="1"/>
  <c r="K1920" i="1" s="1"/>
  <c r="F1918" i="1" a="1"/>
  <c r="F1918" i="1" s="1"/>
  <c r="H1915" i="1" a="1"/>
  <c r="H1915" i="1" s="1"/>
  <c r="H1917" i="1" a="1"/>
  <c r="H1917" i="1" s="1"/>
  <c r="I1922" i="1" a="1"/>
  <c r="I1922" i="1" s="1"/>
  <c r="G1919" i="1" a="1"/>
  <c r="G1919" i="1"/>
  <c r="H1923" i="1" a="1"/>
  <c r="H1923" i="1" s="1"/>
  <c r="G1923" i="1" a="1"/>
  <c r="G1923" i="1" s="1"/>
  <c r="F1923" i="1" a="1"/>
  <c r="F1923" i="1" s="1"/>
  <c r="J1921" i="1" a="1"/>
  <c r="J1921" i="1" s="1"/>
  <c r="J1919" i="1" a="1"/>
  <c r="J1919" i="1" s="1"/>
  <c r="K1914" i="1" a="1"/>
  <c r="K1914" i="1" s="1"/>
  <c r="H1918" i="1" a="1"/>
  <c r="H1918" i="1" s="1"/>
  <c r="H1913" i="1" a="1"/>
  <c r="H1913" i="1" s="1"/>
  <c r="K1922" i="1" a="1"/>
  <c r="K1922" i="1" s="1"/>
  <c r="J1922" i="1" a="1"/>
  <c r="J1922" i="1" s="1"/>
  <c r="K1915" i="1" a="1"/>
  <c r="K1915" i="1" s="1"/>
  <c r="H1922" i="1" a="1"/>
  <c r="H1922" i="1" s="1"/>
  <c r="H1916" i="1" a="1"/>
  <c r="H1916" i="1" s="1"/>
  <c r="H1920" i="1" a="1"/>
  <c r="H1920" i="1" s="1"/>
  <c r="G1916" i="1" a="1"/>
  <c r="G1916" i="1" s="1"/>
  <c r="J1918" i="1" a="1"/>
  <c r="J1918" i="1" s="1"/>
  <c r="I1915" i="1" a="1"/>
  <c r="I1915" i="1" s="1"/>
  <c r="F1920" i="1" a="1"/>
  <c r="F1920" i="1" s="1"/>
  <c r="G1918" i="1" a="1"/>
  <c r="G1918" i="1" s="1"/>
  <c r="F1914" i="1" a="1"/>
  <c r="F1914" i="1"/>
  <c r="I1919" i="1" a="1"/>
  <c r="I1919" i="1" s="1"/>
  <c r="F1919" i="1" a="1"/>
  <c r="F1919" i="1" s="1"/>
  <c r="F1922" i="1" a="1"/>
  <c r="F1922" i="1" s="1"/>
  <c r="H1921" i="1" a="1"/>
  <c r="H1921" i="1" s="1"/>
  <c r="J1914" i="1" a="1"/>
  <c r="J1914" i="1" s="1"/>
  <c r="K1912" i="1" a="1"/>
  <c r="K1912" i="1" s="1"/>
  <c r="I1907" i="1" a="1"/>
  <c r="I1907" i="1" s="1"/>
  <c r="I1906" i="1" a="1"/>
  <c r="I1906" i="1" s="1"/>
  <c r="J1907" i="1" a="1"/>
  <c r="J1907" i="1" s="1"/>
  <c r="J1912" i="1" a="1"/>
  <c r="J1912" i="1"/>
  <c r="I1912" i="1" a="1"/>
  <c r="I1912" i="1" s="1"/>
  <c r="K1911" i="1" a="1"/>
  <c r="K1911" i="1" s="1"/>
  <c r="G1911" i="1" a="1"/>
  <c r="G1911" i="1" s="1"/>
  <c r="J1908" i="1" a="1"/>
  <c r="J1908" i="1" s="1"/>
  <c r="J1906" i="1" a="1"/>
  <c r="J1906" i="1" s="1"/>
  <c r="I1905" i="1" a="1"/>
  <c r="I1905" i="1" s="1"/>
  <c r="K1904" i="1" a="1"/>
  <c r="K1904" i="1" s="1"/>
  <c r="H1903" i="1" a="1"/>
  <c r="H1903" i="1" s="1"/>
  <c r="F1911" i="1" a="1"/>
  <c r="F1911" i="1" s="1"/>
  <c r="G1910" i="1" a="1"/>
  <c r="G1910" i="1"/>
  <c r="K1909" i="1" a="1"/>
  <c r="K1909" i="1" s="1"/>
  <c r="F1903" i="1" a="1"/>
  <c r="F1903" i="1" s="1"/>
  <c r="G1903" i="1" a="1"/>
  <c r="G1903" i="1" s="1"/>
  <c r="H1907" i="1" a="1"/>
  <c r="H1907" i="1" s="1"/>
  <c r="H1906" i="1" a="1"/>
  <c r="H1906" i="1" s="1"/>
  <c r="F1905" i="1" a="1"/>
  <c r="F1905" i="1" s="1"/>
  <c r="H1909" i="1" a="1"/>
  <c r="H1909" i="1" s="1"/>
  <c r="G1906" i="1" a="1"/>
  <c r="G1906" i="1" s="1"/>
  <c r="H1905" i="1" a="1"/>
  <c r="H1905" i="1" s="1"/>
  <c r="J1903" i="1" a="1"/>
  <c r="J1903" i="1" s="1"/>
  <c r="G1908" i="1" a="1"/>
  <c r="G1908" i="1" s="1"/>
  <c r="H1911" i="1" a="1"/>
  <c r="H1911" i="1" s="1"/>
  <c r="G1907" i="1" a="1"/>
  <c r="G1907" i="1" s="1"/>
  <c r="G1909" i="1" a="1"/>
  <c r="G1909" i="1" s="1"/>
  <c r="K1908" i="1" a="1"/>
  <c r="K1908" i="1" s="1"/>
  <c r="K1906" i="1" a="1"/>
  <c r="K1906" i="1" s="1"/>
  <c r="I1904" i="1" a="1"/>
  <c r="I1904" i="1" s="1"/>
  <c r="H1912" i="1" a="1"/>
  <c r="H1912" i="1" s="1"/>
  <c r="K1907" i="1" a="1"/>
  <c r="K1907" i="1" s="1"/>
  <c r="H1904" i="1" a="1"/>
  <c r="H1904" i="1"/>
  <c r="F1912" i="1" a="1"/>
  <c r="F1912" i="1" s="1"/>
  <c r="J1911" i="1" a="1"/>
  <c r="J1911" i="1" s="1"/>
  <c r="H1910" i="1" a="1"/>
  <c r="H1910" i="1" s="1"/>
  <c r="F1910" i="1" a="1"/>
  <c r="F1910" i="1" s="1"/>
  <c r="F1909" i="1" a="1"/>
  <c r="F1909" i="1" s="1"/>
  <c r="I1908" i="1" a="1"/>
  <c r="I1908" i="1" s="1"/>
  <c r="F1904" i="1" a="1"/>
  <c r="F1904" i="1" s="1"/>
  <c r="H1908" i="1" a="1"/>
  <c r="H1908" i="1" s="1"/>
  <c r="F1908" i="1" a="1"/>
  <c r="F1908" i="1" s="1"/>
  <c r="F1907" i="1" a="1"/>
  <c r="F1907" i="1"/>
  <c r="F1906" i="1" a="1"/>
  <c r="F1906" i="1" s="1"/>
  <c r="J1905" i="1" a="1"/>
  <c r="J1905" i="1" s="1"/>
  <c r="J1902" i="1" a="1"/>
  <c r="J1902" i="1" s="1"/>
  <c r="G1912" i="1" a="1"/>
  <c r="G1912" i="1" s="1"/>
  <c r="K1910" i="1" a="1"/>
  <c r="K1910" i="1" s="1"/>
  <c r="J1910" i="1" a="1"/>
  <c r="J1910" i="1" s="1"/>
  <c r="I1910" i="1" a="1"/>
  <c r="I1910" i="1" s="1"/>
  <c r="K1902" i="1" a="1"/>
  <c r="K1902" i="1" s="1"/>
  <c r="I1903" i="1" a="1"/>
  <c r="I1903" i="1" s="1"/>
  <c r="J1904" i="1" a="1"/>
  <c r="J1904" i="1" s="1"/>
  <c r="K1905" i="1" a="1"/>
  <c r="K1905" i="1" s="1"/>
  <c r="G1913" i="1" a="1"/>
  <c r="G1913" i="1" s="1"/>
  <c r="G1904" i="1" a="1"/>
  <c r="G1904" i="1" s="1"/>
  <c r="I1911" i="1" a="1"/>
  <c r="I1911" i="1" s="1"/>
  <c r="G1905" i="1" a="1"/>
  <c r="G1905" i="1" s="1"/>
  <c r="K1903" i="1" a="1"/>
  <c r="K1903" i="1" s="1"/>
  <c r="J1909" i="1" a="1"/>
  <c r="J1909" i="1" s="1"/>
  <c r="F1913" i="1" a="1"/>
  <c r="F1913" i="1" s="1"/>
  <c r="I1909" i="1" a="1"/>
  <c r="I1909" i="1" s="1"/>
  <c r="I1902" i="1" a="1"/>
  <c r="I1902" i="1" s="1"/>
  <c r="H1902" i="1" a="1"/>
  <c r="H1902" i="1" s="1"/>
  <c r="G1902" i="1" a="1"/>
  <c r="G1902" i="1" s="1"/>
  <c r="F1902" i="1" a="1"/>
  <c r="F1902" i="1" s="1"/>
  <c r="K1901" i="1" a="1"/>
  <c r="K1901" i="1" s="1"/>
  <c r="J1901" i="1" a="1"/>
  <c r="J1901" i="1" s="1"/>
  <c r="I1901" i="1" a="1"/>
  <c r="I1901" i="1" s="1"/>
  <c r="H1901" i="1" a="1"/>
  <c r="H1901" i="1" s="1"/>
  <c r="G1901" i="1" a="1"/>
  <c r="G1901" i="1" s="1"/>
  <c r="F1901" i="1" a="1"/>
  <c r="F1901" i="1" s="1"/>
  <c r="F1900" i="1" a="1"/>
  <c r="F1900" i="1"/>
  <c r="K1899" i="1" a="1"/>
  <c r="K1899" i="1" s="1"/>
  <c r="K1900" i="1" a="1"/>
  <c r="K1900" i="1" s="1"/>
  <c r="I1899" i="1" a="1"/>
  <c r="I1899" i="1" s="1"/>
  <c r="J1899" i="1" a="1"/>
  <c r="J1899" i="1" s="1"/>
  <c r="G1899" i="1" a="1"/>
  <c r="G1899" i="1" s="1"/>
  <c r="H1899" i="1" a="1"/>
  <c r="H1899" i="1" s="1"/>
  <c r="J1900" i="1" a="1"/>
  <c r="J1900" i="1" s="1"/>
  <c r="I1900" i="1" a="1"/>
  <c r="I1900" i="1" s="1"/>
  <c r="H1900" i="1" a="1"/>
  <c r="H1900" i="1" s="1"/>
  <c r="F1899" i="1" a="1"/>
  <c r="F1899" i="1" s="1"/>
  <c r="G1900" i="1" a="1"/>
  <c r="G1900" i="1" s="1"/>
  <c r="J1664" i="1" a="1"/>
  <c r="J1664" i="1" s="1"/>
  <c r="I1667" i="1" a="1"/>
  <c r="I1667" i="1" s="1"/>
  <c r="F1666" i="1" a="1"/>
  <c r="F1666" i="1" s="1"/>
  <c r="F1665" i="1" a="1"/>
  <c r="F1665" i="1" s="1"/>
  <c r="F1668" i="1" a="1"/>
  <c r="F1668" i="1" s="1"/>
  <c r="G1663" i="1" a="1"/>
  <c r="G1663" i="1" s="1"/>
  <c r="G1667" i="1" a="1"/>
  <c r="G1667" i="1" s="1"/>
  <c r="I1670" i="1" a="1"/>
  <c r="I1670" i="1" s="1"/>
  <c r="I1669" i="1" a="1"/>
  <c r="I1669" i="1"/>
  <c r="G1669" i="1" a="1"/>
  <c r="G1669" i="1" s="1"/>
  <c r="G1668" i="1" a="1"/>
  <c r="G1668" i="1" s="1"/>
  <c r="F1663" i="1" a="1"/>
  <c r="F1663" i="1" s="1"/>
  <c r="F1667" i="1" a="1"/>
  <c r="F1667" i="1" s="1"/>
  <c r="H1668" i="1" a="1"/>
  <c r="H1668" i="1" s="1"/>
  <c r="I1671" i="1" a="1"/>
  <c r="I1671" i="1" s="1"/>
  <c r="G1671" i="1" a="1"/>
  <c r="G1671" i="1" s="1"/>
  <c r="H1666" i="1" a="1"/>
  <c r="H1666" i="1" s="1"/>
  <c r="H1663" i="1" a="1"/>
  <c r="H1663" i="1" s="1"/>
  <c r="J1669" i="1" a="1"/>
  <c r="J1669" i="1" s="1"/>
  <c r="K1670" i="1" a="1"/>
  <c r="K1670" i="1" s="1"/>
  <c r="H1670" i="1" a="1"/>
  <c r="H1670" i="1" s="1"/>
  <c r="H1665" i="1" a="1"/>
  <c r="H1665" i="1" s="1"/>
  <c r="K1665" i="1" a="1"/>
  <c r="K1665" i="1" s="1"/>
  <c r="I1664" i="1" a="1"/>
  <c r="I1664" i="1" s="1"/>
  <c r="G1665" i="1" a="1"/>
  <c r="G1665" i="1" s="1"/>
  <c r="G1664" i="1" a="1"/>
  <c r="G1664" i="1" s="1"/>
  <c r="J1663" i="1" a="1"/>
  <c r="J1663" i="1" s="1"/>
  <c r="H1671" i="1" a="1"/>
  <c r="H1671" i="1" s="1"/>
  <c r="H1667" i="1" a="1"/>
  <c r="H1667" i="1" s="1"/>
  <c r="K1664" i="1" a="1"/>
  <c r="K1664" i="1" s="1"/>
  <c r="K1663" i="1" a="1"/>
  <c r="K1663" i="1" s="1"/>
  <c r="J1662" i="1" a="1"/>
  <c r="J1662" i="1" s="1"/>
  <c r="G1670" i="1" a="1"/>
  <c r="G1670" i="1" s="1"/>
  <c r="K1668" i="1" a="1"/>
  <c r="K1668" i="1" s="1"/>
  <c r="I1668" i="1" a="1"/>
  <c r="I1668" i="1" s="1"/>
  <c r="K1667" i="1" a="1"/>
  <c r="K1667" i="1" s="1"/>
  <c r="I1666" i="1" a="1"/>
  <c r="I1666" i="1" s="1"/>
  <c r="K1662" i="1" a="1"/>
  <c r="K1662" i="1" s="1"/>
  <c r="J1667" i="1" a="1"/>
  <c r="J1667" i="1" s="1"/>
  <c r="K1666" i="1" a="1"/>
  <c r="K1666" i="1" s="1"/>
  <c r="G1666" i="1" a="1"/>
  <c r="G1666" i="1" s="1"/>
  <c r="J1665" i="1" a="1"/>
  <c r="J1665" i="1" s="1"/>
  <c r="I1665" i="1" a="1"/>
  <c r="I1665" i="1" s="1"/>
  <c r="H1669" i="1" a="1"/>
  <c r="H1669" i="1" s="1"/>
  <c r="K1671" i="1" a="1"/>
  <c r="K1671" i="1" s="1"/>
  <c r="J1671" i="1" a="1"/>
  <c r="J1671" i="1" s="1"/>
  <c r="J1666" i="1" a="1"/>
  <c r="J1666" i="1" s="1"/>
  <c r="H1664" i="1" a="1"/>
  <c r="H1664" i="1" s="1"/>
  <c r="F1664" i="1" a="1"/>
  <c r="F1664" i="1"/>
  <c r="F1669" i="1" a="1"/>
  <c r="F1669" i="1" s="1"/>
  <c r="F1671" i="1" a="1"/>
  <c r="F1671" i="1" s="1"/>
  <c r="J1670" i="1" a="1"/>
  <c r="J1670" i="1" s="1"/>
  <c r="F1670" i="1" a="1"/>
  <c r="F1670" i="1" s="1"/>
  <c r="K1669" i="1" a="1"/>
  <c r="K1669" i="1" s="1"/>
  <c r="J1668" i="1" a="1"/>
  <c r="J1668" i="1" s="1"/>
  <c r="I1663" i="1" a="1"/>
  <c r="I1663" i="1" s="1"/>
  <c r="G1652" i="1" a="1"/>
  <c r="G1652" i="1" s="1"/>
  <c r="K1658" i="1" a="1"/>
  <c r="K1658" i="1" s="1"/>
  <c r="F1646" i="1" a="1"/>
  <c r="F1646" i="1" s="1"/>
  <c r="F1658" i="1" a="1"/>
  <c r="F1658" i="1"/>
  <c r="K1660" i="1" a="1"/>
  <c r="K1660" i="1"/>
  <c r="F1660" i="1" a="1"/>
  <c r="F1660" i="1"/>
  <c r="J1658" i="1" a="1"/>
  <c r="J1658" i="1"/>
  <c r="I1644" i="1" a="1"/>
  <c r="I1644" i="1" s="1"/>
  <c r="I1660" i="1" a="1"/>
  <c r="I1660" i="1" s="1"/>
  <c r="H1660" i="1" a="1"/>
  <c r="H1660" i="1" s="1"/>
  <c r="H1646" i="1" a="1"/>
  <c r="H1646" i="1" s="1"/>
  <c r="K1659" i="1" a="1"/>
  <c r="K1659" i="1" s="1"/>
  <c r="J1659" i="1" a="1"/>
  <c r="J1659" i="1" s="1"/>
  <c r="I1659" i="1" a="1"/>
  <c r="I1659" i="1" s="1"/>
  <c r="H1659" i="1" a="1"/>
  <c r="H1659" i="1" s="1"/>
  <c r="G1659" i="1" a="1"/>
  <c r="G1659" i="1"/>
  <c r="G1645" i="1" a="1"/>
  <c r="G1645" i="1" s="1"/>
  <c r="F1659" i="1" a="1"/>
  <c r="F1659" i="1"/>
  <c r="G1646" i="1" a="1"/>
  <c r="G1646" i="1"/>
  <c r="G1658" i="1" a="1"/>
  <c r="G1658" i="1"/>
  <c r="F1652" i="1" a="1"/>
  <c r="F1652" i="1"/>
  <c r="K1652" i="1" a="1"/>
  <c r="K1652" i="1"/>
  <c r="J1652" i="1" a="1"/>
  <c r="J1652" i="1" s="1"/>
  <c r="K1646" i="1" a="1"/>
  <c r="K1646" i="1"/>
  <c r="I1645" i="1" a="1"/>
  <c r="I1645" i="1"/>
  <c r="J1660" i="1" a="1"/>
  <c r="J1660" i="1"/>
  <c r="G1660" i="1" a="1"/>
  <c r="G1660" i="1"/>
  <c r="I1658" i="1" a="1"/>
  <c r="I1658" i="1"/>
  <c r="H1652" i="1" a="1"/>
  <c r="H1652" i="1" s="1"/>
  <c r="J1646" i="1" a="1"/>
  <c r="J1646" i="1" s="1"/>
  <c r="J1645" i="1" a="1"/>
  <c r="J1645" i="1" s="1"/>
  <c r="H1645" i="1" a="1"/>
  <c r="H1645" i="1" s="1"/>
  <c r="K1644" i="1" a="1"/>
  <c r="K1644" i="1" s="1"/>
  <c r="H1658" i="1" a="1"/>
  <c r="H1658" i="1" s="1"/>
  <c r="I1652" i="1" a="1"/>
  <c r="I1652" i="1" s="1"/>
  <c r="H1644" i="1" a="1"/>
  <c r="H1644" i="1" s="1"/>
  <c r="I1646" i="1" a="1"/>
  <c r="I1646" i="1"/>
  <c r="K1645" i="1" a="1"/>
  <c r="K1645" i="1" s="1"/>
  <c r="F1645" i="1" a="1"/>
  <c r="F1645" i="1"/>
  <c r="J1644" i="1" a="1"/>
  <c r="J1644" i="1"/>
  <c r="I1662" i="1" a="1"/>
  <c r="I1662" i="1"/>
  <c r="H1662" i="1" a="1"/>
  <c r="H1662" i="1"/>
  <c r="G1662" i="1" a="1"/>
  <c r="G1662" i="1" s="1"/>
  <c r="F1662" i="1" a="1"/>
  <c r="F1662" i="1" s="1"/>
  <c r="K1640" i="1" a="1"/>
  <c r="K1640" i="1"/>
  <c r="K1642" i="1" a="1"/>
  <c r="K1642" i="1"/>
  <c r="G1642" i="1" a="1"/>
  <c r="G1642" i="1"/>
  <c r="H1626" i="1" a="1"/>
  <c r="H1626" i="1"/>
  <c r="I1641" i="1" a="1"/>
  <c r="I1641" i="1"/>
  <c r="J1640" i="1" a="1"/>
  <c r="J1640" i="1" s="1"/>
  <c r="F1627" i="1" a="1"/>
  <c r="F1627" i="1" s="1"/>
  <c r="I1626" i="1" a="1"/>
  <c r="I1626" i="1" s="1"/>
  <c r="J1624" i="1" a="1"/>
  <c r="J1624" i="1" s="1"/>
  <c r="J1626" i="1" a="1"/>
  <c r="J1626" i="1"/>
  <c r="J1642" i="1" a="1"/>
  <c r="J1642" i="1" s="1"/>
  <c r="I1642" i="1" a="1"/>
  <c r="I1642" i="1" s="1"/>
  <c r="H1627" i="1" a="1"/>
  <c r="H1627" i="1" s="1"/>
  <c r="K1626" i="1" a="1"/>
  <c r="K1626" i="1"/>
  <c r="K1625" i="1" a="1"/>
  <c r="K1625" i="1" s="1"/>
  <c r="G1641" i="1" a="1"/>
  <c r="G1641" i="1"/>
  <c r="H1642" i="1" a="1"/>
  <c r="H1642" i="1"/>
  <c r="J1641" i="1" a="1"/>
  <c r="J1641" i="1"/>
  <c r="F1642" i="1" a="1"/>
  <c r="F1642" i="1" s="1"/>
  <c r="G1640" i="1" a="1"/>
  <c r="G1640" i="1" s="1"/>
  <c r="H1625" i="1" a="1"/>
  <c r="H1625" i="1" s="1"/>
  <c r="H1641" i="1" a="1"/>
  <c r="H1641" i="1"/>
  <c r="F1641" i="1" a="1"/>
  <c r="F1641" i="1"/>
  <c r="G1626" i="1" a="1"/>
  <c r="G1626" i="1"/>
  <c r="K1627" i="1" a="1"/>
  <c r="K1627" i="1"/>
  <c r="F1640" i="1" a="1"/>
  <c r="F1640" i="1"/>
  <c r="F1626" i="1" a="1"/>
  <c r="F1626" i="1" s="1"/>
  <c r="J1625" i="1" a="1"/>
  <c r="J1625" i="1" s="1"/>
  <c r="I1625" i="1" a="1"/>
  <c r="I1625" i="1" s="1"/>
  <c r="G1625" i="1" a="1"/>
  <c r="G1625" i="1"/>
  <c r="F1625" i="1" a="1"/>
  <c r="F1625" i="1"/>
  <c r="F1644" i="1" a="1"/>
  <c r="F1644" i="1" s="1"/>
  <c r="K1641" i="1" a="1"/>
  <c r="K1641" i="1" s="1"/>
  <c r="I1640" i="1" a="1"/>
  <c r="I1640" i="1" s="1"/>
  <c r="H1640" i="1" a="1"/>
  <c r="H1640" i="1"/>
  <c r="G1627" i="1" a="1"/>
  <c r="G1627" i="1" s="1"/>
  <c r="I1624" i="1" a="1"/>
  <c r="I1624" i="1"/>
  <c r="J1627" i="1" a="1"/>
  <c r="J1627" i="1"/>
  <c r="I1627" i="1" a="1"/>
  <c r="I1627" i="1" s="1"/>
  <c r="K1624" i="1" a="1"/>
  <c r="K1624" i="1" s="1"/>
  <c r="G1644" i="1" a="1"/>
  <c r="G1644" i="1" s="1"/>
  <c r="K1611" i="1" a="1"/>
  <c r="K1611" i="1" s="1"/>
  <c r="F1622" i="1" a="1"/>
  <c r="F1622" i="1"/>
  <c r="J1619" i="1" a="1"/>
  <c r="J1619" i="1"/>
  <c r="G1624" i="1" a="1"/>
  <c r="G1624" i="1"/>
  <c r="F1624" i="1" a="1"/>
  <c r="F1624" i="1"/>
  <c r="K1623" i="1" a="1"/>
  <c r="K1623" i="1"/>
  <c r="I1623" i="1" a="1"/>
  <c r="I1623" i="1" s="1"/>
  <c r="H1619" i="1" a="1"/>
  <c r="H1619" i="1" s="1"/>
  <c r="J1623" i="1" a="1"/>
  <c r="J1623" i="1"/>
  <c r="H1623" i="1" a="1"/>
  <c r="H1623" i="1"/>
  <c r="G1610" i="1" a="1"/>
  <c r="G1610" i="1"/>
  <c r="G1623" i="1" a="1"/>
  <c r="G1623" i="1" s="1"/>
  <c r="G1619" i="1" a="1"/>
  <c r="G1619" i="1" s="1"/>
  <c r="J1620" i="1" a="1"/>
  <c r="J1620" i="1" s="1"/>
  <c r="F1623" i="1" a="1"/>
  <c r="F1623" i="1"/>
  <c r="K1622" i="1" a="1"/>
  <c r="K1622" i="1" s="1"/>
  <c r="H1610" i="1" a="1"/>
  <c r="H1610" i="1"/>
  <c r="I1619" i="1" a="1"/>
  <c r="I1619" i="1" s="1"/>
  <c r="G1622" i="1" a="1"/>
  <c r="G1622" i="1" s="1"/>
  <c r="I1621" i="1" a="1"/>
  <c r="I1621" i="1" s="1"/>
  <c r="G1620" i="1" a="1"/>
  <c r="G1620" i="1" s="1"/>
  <c r="H1621" i="1" a="1"/>
  <c r="H1621" i="1" s="1"/>
  <c r="J1621" i="1" a="1"/>
  <c r="J1621" i="1"/>
  <c r="F1621" i="1" a="1"/>
  <c r="F1621" i="1"/>
  <c r="F1620" i="1" a="1"/>
  <c r="F1620" i="1"/>
  <c r="G1617" i="1" a="1"/>
  <c r="G1617" i="1"/>
  <c r="J1610" i="1" a="1"/>
  <c r="J1610" i="1"/>
  <c r="J1611" i="1" a="1"/>
  <c r="J1611" i="1" s="1"/>
  <c r="K1617" i="1" a="1"/>
  <c r="K1617" i="1"/>
  <c r="H1611" i="1" a="1"/>
  <c r="H1611" i="1"/>
  <c r="J1622" i="1" a="1"/>
  <c r="J1622" i="1"/>
  <c r="I1622" i="1" a="1"/>
  <c r="I1622" i="1"/>
  <c r="I1620" i="1" a="1"/>
  <c r="I1620" i="1" s="1"/>
  <c r="J1617" i="1" a="1"/>
  <c r="J1617" i="1" s="1"/>
  <c r="H1617" i="1" a="1"/>
  <c r="H1617" i="1" s="1"/>
  <c r="I1611" i="1" a="1"/>
  <c r="I1611" i="1"/>
  <c r="G1611" i="1" a="1"/>
  <c r="G1611" i="1" s="1"/>
  <c r="K1621" i="1" a="1"/>
  <c r="K1621" i="1" s="1"/>
  <c r="G1621" i="1" a="1"/>
  <c r="G1621" i="1" s="1"/>
  <c r="I1610" i="1" a="1"/>
  <c r="I1610" i="1" s="1"/>
  <c r="K1619" i="1" a="1"/>
  <c r="K1619" i="1" s="1"/>
  <c r="I1617" i="1" a="1"/>
  <c r="I1617" i="1" s="1"/>
  <c r="F1611" i="1" a="1"/>
  <c r="F1611" i="1" s="1"/>
  <c r="F1619" i="1" a="1"/>
  <c r="F1619" i="1"/>
  <c r="H1622" i="1" a="1"/>
  <c r="H1622" i="1"/>
  <c r="K1620" i="1" a="1"/>
  <c r="K1620" i="1"/>
  <c r="K1610" i="1" a="1"/>
  <c r="K1610" i="1"/>
  <c r="H1624" i="1" a="1"/>
  <c r="H1624" i="1" s="1"/>
  <c r="H1620" i="1" a="1"/>
  <c r="H1620" i="1"/>
  <c r="F1617" i="1" a="1"/>
  <c r="F1617" i="1"/>
  <c r="F1594" i="1" a="1"/>
  <c r="F1594" i="1"/>
  <c r="J1594" i="1" a="1"/>
  <c r="J1594" i="1"/>
  <c r="H1596" i="1" a="1"/>
  <c r="H1596" i="1"/>
  <c r="H1594" i="1" a="1"/>
  <c r="H1594" i="1" s="1"/>
  <c r="H1602" i="1" a="1"/>
  <c r="H1602" i="1" s="1"/>
  <c r="K1603" i="1" a="1"/>
  <c r="K1603" i="1" s="1"/>
  <c r="G1602" i="1" a="1"/>
  <c r="G1602" i="1"/>
  <c r="G1594" i="1" a="1"/>
  <c r="G1594" i="1" s="1"/>
  <c r="K1596" i="1" a="1"/>
  <c r="K1596" i="1"/>
  <c r="I1596" i="1" a="1"/>
  <c r="I1596" i="1" s="1"/>
  <c r="I1594" i="1" a="1"/>
  <c r="I1594" i="1" s="1"/>
  <c r="G1596" i="1" a="1"/>
  <c r="G1596" i="1" s="1"/>
  <c r="K1594" i="1" a="1"/>
  <c r="K1594" i="1" s="1"/>
  <c r="J1603" i="1" a="1"/>
  <c r="J1603" i="1" s="1"/>
  <c r="J1596" i="1" a="1"/>
  <c r="J1596" i="1"/>
  <c r="F1593" i="1" a="1"/>
  <c r="F1593" i="1"/>
  <c r="K1593" i="1" a="1"/>
  <c r="K1593" i="1"/>
  <c r="J1609" i="1" a="1"/>
  <c r="J1609" i="1" s="1"/>
  <c r="H1609" i="1" a="1"/>
  <c r="H1609" i="1" s="1"/>
  <c r="G1609" i="1" a="1"/>
  <c r="G1609" i="1"/>
  <c r="I1602" i="1" a="1"/>
  <c r="I1602" i="1"/>
  <c r="F1602" i="1" a="1"/>
  <c r="F1602" i="1"/>
  <c r="I1603" i="1" a="1"/>
  <c r="I1603" i="1"/>
  <c r="G1603" i="1" a="1"/>
  <c r="G1603" i="1"/>
  <c r="K1602" i="1" a="1"/>
  <c r="K1602" i="1" s="1"/>
  <c r="J1602" i="1" a="1"/>
  <c r="J1602" i="1" s="1"/>
  <c r="H1593" i="1" a="1"/>
  <c r="H1593" i="1" s="1"/>
  <c r="H1603" i="1" a="1"/>
  <c r="H1603" i="1" s="1"/>
  <c r="F1603" i="1" a="1"/>
  <c r="F1603" i="1"/>
  <c r="F1596" i="1" a="1"/>
  <c r="F1596" i="1"/>
  <c r="J1593" i="1" a="1"/>
  <c r="J1593" i="1" s="1"/>
  <c r="I1593" i="1" a="1"/>
  <c r="I1593" i="1" s="1"/>
  <c r="G1593" i="1" a="1"/>
  <c r="G1593" i="1" s="1"/>
  <c r="F1610" i="1" a="1"/>
  <c r="F1610" i="1" s="1"/>
  <c r="K1609" i="1" a="1"/>
  <c r="K1609" i="1" s="1"/>
  <c r="I1609" i="1" a="1"/>
  <c r="I1609" i="1"/>
  <c r="F1609" i="1" a="1"/>
  <c r="F1609" i="1"/>
  <c r="J1579" i="1" a="1"/>
  <c r="J1579" i="1" s="1"/>
  <c r="G1579" i="1" a="1"/>
  <c r="G1579" i="1"/>
  <c r="K1576" i="1" a="1"/>
  <c r="K1576" i="1" s="1"/>
  <c r="H1574" i="1" a="1"/>
  <c r="H1574" i="1"/>
  <c r="I1576" i="1" a="1"/>
  <c r="I1576" i="1"/>
  <c r="H1579" i="1" a="1"/>
  <c r="H1579" i="1"/>
  <c r="J1580" i="1" a="1"/>
  <c r="J1580" i="1"/>
  <c r="G1580" i="1" a="1"/>
  <c r="G1580" i="1"/>
  <c r="I1579" i="1" a="1"/>
  <c r="I1579" i="1" s="1"/>
  <c r="H1577" i="1" a="1"/>
  <c r="H1577" i="1" s="1"/>
  <c r="I1575" i="1" a="1"/>
  <c r="I1575" i="1" s="1"/>
  <c r="I1574" i="1" a="1"/>
  <c r="I1574" i="1"/>
  <c r="K1574" i="1" a="1"/>
  <c r="K1574" i="1"/>
  <c r="J1576" i="1" a="1"/>
  <c r="J1576" i="1"/>
  <c r="F1577" i="1" a="1"/>
  <c r="F1577" i="1" s="1"/>
  <c r="K1578" i="1" a="1"/>
  <c r="K1578" i="1" s="1"/>
  <c r="J1577" i="1" a="1"/>
  <c r="J1577" i="1" s="1"/>
  <c r="H1578" i="1" a="1"/>
  <c r="H1578" i="1" s="1"/>
  <c r="K1577" i="1" a="1"/>
  <c r="K1577" i="1" s="1"/>
  <c r="G1577" i="1" a="1"/>
  <c r="G1577" i="1"/>
  <c r="F1575" i="1" a="1"/>
  <c r="F1575" i="1" s="1"/>
  <c r="F1579" i="1" a="1"/>
  <c r="F1579" i="1" s="1"/>
  <c r="F1578" i="1" a="1"/>
  <c r="F1578" i="1"/>
  <c r="J1578" i="1" a="1"/>
  <c r="J1578" i="1" s="1"/>
  <c r="J1574" i="1" a="1"/>
  <c r="J1574" i="1"/>
  <c r="H1575" i="1" a="1"/>
  <c r="H1575" i="1"/>
  <c r="H1576" i="1" a="1"/>
  <c r="H1576" i="1"/>
  <c r="K1575" i="1" a="1"/>
  <c r="K1575" i="1"/>
  <c r="K1579" i="1" a="1"/>
  <c r="K1579" i="1"/>
  <c r="H1580" i="1" a="1"/>
  <c r="H1580" i="1" s="1"/>
  <c r="F1576" i="1" a="1"/>
  <c r="F1576" i="1" s="1"/>
  <c r="I1580" i="1" a="1"/>
  <c r="I1580" i="1"/>
  <c r="F1580" i="1" a="1"/>
  <c r="F1580" i="1"/>
  <c r="G1578" i="1" a="1"/>
  <c r="G1578" i="1"/>
  <c r="I1578" i="1" a="1"/>
  <c r="I1578" i="1"/>
  <c r="G1576" i="1" a="1"/>
  <c r="G1576" i="1" s="1"/>
  <c r="J1575" i="1" a="1"/>
  <c r="J1575" i="1" s="1"/>
  <c r="K1580" i="1" a="1"/>
  <c r="K1580" i="1" s="1"/>
  <c r="I1577" i="1" a="1"/>
  <c r="I1577" i="1" s="1"/>
  <c r="G1575" i="1" a="1"/>
  <c r="G1575" i="1" s="1"/>
  <c r="F1564" i="1" a="1"/>
  <c r="F1564" i="1" s="1"/>
  <c r="F1573" i="1" a="1"/>
  <c r="F1573" i="1" s="1"/>
  <c r="I1572" i="1" a="1"/>
  <c r="I1572" i="1" s="1"/>
  <c r="H1563" i="1" a="1"/>
  <c r="H1563" i="1"/>
  <c r="J1570" i="1" a="1"/>
  <c r="J1570" i="1" s="1"/>
  <c r="H1572" i="1" a="1"/>
  <c r="H1572" i="1"/>
  <c r="G1570" i="1" a="1"/>
  <c r="G1570" i="1"/>
  <c r="F1563" i="1" a="1"/>
  <c r="F1563" i="1"/>
  <c r="I1563" i="1" a="1"/>
  <c r="I1563" i="1"/>
  <c r="K1563" i="1" a="1"/>
  <c r="K1563" i="1"/>
  <c r="I1556" i="1" a="1"/>
  <c r="I1556" i="1" s="1"/>
  <c r="H1564" i="1" a="1"/>
  <c r="H1564" i="1"/>
  <c r="F1562" i="1" a="1"/>
  <c r="F1562" i="1"/>
  <c r="G1562" i="1" a="1"/>
  <c r="G1562" i="1"/>
  <c r="G1574" i="1" a="1"/>
  <c r="G1574" i="1"/>
  <c r="G1556" i="1" a="1"/>
  <c r="G1556" i="1"/>
  <c r="F1574" i="1" a="1"/>
  <c r="F1574" i="1" s="1"/>
  <c r="K1573" i="1" a="1"/>
  <c r="K1573" i="1" s="1"/>
  <c r="J1573" i="1" a="1"/>
  <c r="J1573" i="1" s="1"/>
  <c r="I1562" i="1" a="1"/>
  <c r="I1562" i="1" s="1"/>
  <c r="I1573" i="1" a="1"/>
  <c r="I1573" i="1" s="1"/>
  <c r="K1572" i="1" a="1"/>
  <c r="K1572" i="1" s="1"/>
  <c r="F1572" i="1" a="1"/>
  <c r="F1572" i="1" s="1"/>
  <c r="I1564" i="1" a="1"/>
  <c r="I1564" i="1" s="1"/>
  <c r="G1563" i="1" a="1"/>
  <c r="G1563" i="1"/>
  <c r="H1570" i="1" a="1"/>
  <c r="H1570" i="1" s="1"/>
  <c r="I1570" i="1" a="1"/>
  <c r="I1570" i="1"/>
  <c r="F1556" i="1" a="1"/>
  <c r="F1556" i="1"/>
  <c r="J1563" i="1" a="1"/>
  <c r="J1563" i="1"/>
  <c r="G1564" i="1" a="1"/>
  <c r="G1564" i="1"/>
  <c r="K1555" i="1" a="1"/>
  <c r="K1555" i="1" s="1"/>
  <c r="J1556" i="1" a="1"/>
  <c r="J1556" i="1" s="1"/>
  <c r="K1562" i="1" a="1"/>
  <c r="K1562" i="1"/>
  <c r="H1556" i="1" a="1"/>
  <c r="H1556" i="1"/>
  <c r="H1573" i="1" a="1"/>
  <c r="H1573" i="1"/>
  <c r="J1572" i="1" a="1"/>
  <c r="J1572" i="1"/>
  <c r="G1572" i="1" a="1"/>
  <c r="G1572" i="1"/>
  <c r="F1570" i="1" a="1"/>
  <c r="F1570" i="1" s="1"/>
  <c r="J1562" i="1" a="1"/>
  <c r="J1562" i="1" s="1"/>
  <c r="K1556" i="1" a="1"/>
  <c r="K1556" i="1" s="1"/>
  <c r="J1564" i="1" a="1"/>
  <c r="J1564" i="1" s="1"/>
  <c r="G1573" i="1" a="1"/>
  <c r="G1573" i="1"/>
  <c r="K1570" i="1" a="1"/>
  <c r="K1570" i="1" s="1"/>
  <c r="K1564" i="1" a="1"/>
  <c r="K1564" i="1" s="1"/>
  <c r="H1562" i="1" a="1"/>
  <c r="H1562" i="1" s="1"/>
  <c r="K1547" i="1" a="1"/>
  <c r="K1547" i="1"/>
  <c r="J1528" i="1" a="1"/>
  <c r="J1528" i="1" s="1"/>
  <c r="I1547" i="1" a="1"/>
  <c r="I1547" i="1"/>
  <c r="H1529" i="1" a="1"/>
  <c r="H1529" i="1"/>
  <c r="G1555" i="1" a="1"/>
  <c r="G1555" i="1"/>
  <c r="F1549" i="1" a="1"/>
  <c r="F1549" i="1" s="1"/>
  <c r="I1546" i="1" a="1"/>
  <c r="I1546" i="1" s="1"/>
  <c r="I1528" i="1" a="1"/>
  <c r="I1528" i="1" s="1"/>
  <c r="F1527" i="1" a="1"/>
  <c r="F1527" i="1"/>
  <c r="K1546" i="1" a="1"/>
  <c r="K1546" i="1"/>
  <c r="K1527" i="1" a="1"/>
  <c r="K1527" i="1"/>
  <c r="I1549" i="1" a="1"/>
  <c r="I1549" i="1"/>
  <c r="F1546" i="1" a="1"/>
  <c r="F1546" i="1"/>
  <c r="J1526" i="1" a="1"/>
  <c r="J1526" i="1" s="1"/>
  <c r="H1549" i="1" a="1"/>
  <c r="H1549" i="1" s="1"/>
  <c r="K1528" i="1" a="1"/>
  <c r="K1528" i="1" s="1"/>
  <c r="G1547" i="1" a="1"/>
  <c r="G1547" i="1"/>
  <c r="J1527" i="1" a="1"/>
  <c r="J1527" i="1"/>
  <c r="G1527" i="1" a="1"/>
  <c r="G1527" i="1" s="1"/>
  <c r="I1529" i="1" a="1"/>
  <c r="I1529" i="1" s="1"/>
  <c r="I1527" i="1" a="1"/>
  <c r="I1527" i="1" s="1"/>
  <c r="I1526" i="1" a="1"/>
  <c r="I1526" i="1"/>
  <c r="F1528" i="1" a="1"/>
  <c r="F1528" i="1" s="1"/>
  <c r="J1547" i="1" a="1"/>
  <c r="J1547" i="1"/>
  <c r="K1549" i="1" a="1"/>
  <c r="K1549" i="1"/>
  <c r="K1526" i="1" a="1"/>
  <c r="K1526" i="1" s="1"/>
  <c r="G1546" i="1" a="1"/>
  <c r="G1546" i="1" s="1"/>
  <c r="H1546" i="1" a="1"/>
  <c r="H1546" i="1" s="1"/>
  <c r="I1555" i="1" a="1"/>
  <c r="I1555" i="1" s="1"/>
  <c r="F1555" i="1" a="1"/>
  <c r="F1555" i="1"/>
  <c r="H1547" i="1" a="1"/>
  <c r="H1547" i="1"/>
  <c r="J1546" i="1" a="1"/>
  <c r="J1546" i="1"/>
  <c r="G1549" i="1" a="1"/>
  <c r="G1549" i="1"/>
  <c r="F1547" i="1" a="1"/>
  <c r="F1547" i="1"/>
  <c r="F1529" i="1" a="1"/>
  <c r="F1529" i="1" s="1"/>
  <c r="K1529" i="1" a="1"/>
  <c r="K1529" i="1" s="1"/>
  <c r="H1527" i="1" a="1"/>
  <c r="H1527" i="1"/>
  <c r="H1528" i="1" a="1"/>
  <c r="H1528" i="1"/>
  <c r="J1529" i="1" a="1"/>
  <c r="J1529" i="1"/>
  <c r="G1528" i="1" a="1"/>
  <c r="G1528" i="1" s="1"/>
  <c r="G1529" i="1" a="1"/>
  <c r="G1529" i="1" s="1"/>
  <c r="J1555" i="1" a="1"/>
  <c r="J1555" i="1" s="1"/>
  <c r="H1555" i="1" a="1"/>
  <c r="H1555" i="1"/>
  <c r="J1549" i="1" a="1"/>
  <c r="J1549" i="1" s="1"/>
  <c r="F1517" i="1" a="1"/>
  <c r="F1517" i="1"/>
  <c r="I1523" i="1" a="1"/>
  <c r="I1523" i="1" s="1"/>
  <c r="H1517" i="1" a="1"/>
  <c r="H1517" i="1" s="1"/>
  <c r="G1526" i="1" a="1"/>
  <c r="G1526" i="1" s="1"/>
  <c r="I1525" i="1" a="1"/>
  <c r="I1525" i="1" s="1"/>
  <c r="I1517" i="1" a="1"/>
  <c r="I1517" i="1" s="1"/>
  <c r="H1525" i="1" a="1"/>
  <c r="H1525" i="1"/>
  <c r="G1520" i="1" a="1"/>
  <c r="G1520" i="1"/>
  <c r="G1523" i="1" a="1"/>
  <c r="G1523" i="1"/>
  <c r="I1521" i="1" a="1"/>
  <c r="I1521" i="1"/>
  <c r="H1520" i="1" a="1"/>
  <c r="H1520" i="1"/>
  <c r="G1519" i="1" a="1"/>
  <c r="G1519" i="1" s="1"/>
  <c r="J1517" i="1" a="1"/>
  <c r="J1517" i="1"/>
  <c r="H1515" i="1" a="1"/>
  <c r="H1515" i="1"/>
  <c r="F1519" i="1" a="1"/>
  <c r="F1519" i="1"/>
  <c r="J1518" i="1" a="1"/>
  <c r="J1518" i="1"/>
  <c r="J1520" i="1" a="1"/>
  <c r="J1520" i="1" s="1"/>
  <c r="I1518" i="1" a="1"/>
  <c r="I1518" i="1" s="1"/>
  <c r="K1524" i="1" a="1"/>
  <c r="K1524" i="1" s="1"/>
  <c r="H1524" i="1" a="1"/>
  <c r="H1524" i="1"/>
  <c r="G1522" i="1" a="1"/>
  <c r="G1522" i="1" s="1"/>
  <c r="J1523" i="1" a="1"/>
  <c r="J1523" i="1" s="1"/>
  <c r="H1522" i="1" a="1"/>
  <c r="H1522" i="1" s="1"/>
  <c r="H1523" i="1" a="1"/>
  <c r="H1523" i="1" s="1"/>
  <c r="G1518" i="1" a="1"/>
  <c r="G1518" i="1" s="1"/>
  <c r="J1515" i="1" a="1"/>
  <c r="J1515" i="1" s="1"/>
  <c r="F1520" i="1" a="1"/>
  <c r="F1520" i="1" s="1"/>
  <c r="K1520" i="1" a="1"/>
  <c r="K1520" i="1"/>
  <c r="K1518" i="1" a="1"/>
  <c r="K1518" i="1"/>
  <c r="K1515" i="1" a="1"/>
  <c r="K1515" i="1"/>
  <c r="G1525" i="1" a="1"/>
  <c r="G1525" i="1"/>
  <c r="K1519" i="1" a="1"/>
  <c r="K1519" i="1" s="1"/>
  <c r="G1517" i="1" a="1"/>
  <c r="G1517" i="1"/>
  <c r="F1524" i="1" a="1"/>
  <c r="F1524" i="1"/>
  <c r="I1522" i="1" a="1"/>
  <c r="I1522" i="1"/>
  <c r="H1526" i="1" a="1"/>
  <c r="H1526" i="1"/>
  <c r="F1526" i="1" a="1"/>
  <c r="F1526" i="1"/>
  <c r="K1525" i="1" a="1"/>
  <c r="K1525" i="1" s="1"/>
  <c r="J1525" i="1" a="1"/>
  <c r="J1525" i="1" s="1"/>
  <c r="I1520" i="1" a="1"/>
  <c r="I1520" i="1" s="1"/>
  <c r="F1525" i="1" a="1"/>
  <c r="F1525" i="1"/>
  <c r="I1524" i="1" a="1"/>
  <c r="I1524" i="1" s="1"/>
  <c r="K1521" i="1" a="1"/>
  <c r="K1521" i="1"/>
  <c r="J1524" i="1" a="1"/>
  <c r="J1524" i="1" s="1"/>
  <c r="G1524" i="1" a="1"/>
  <c r="G1524" i="1" s="1"/>
  <c r="G1521" i="1" a="1"/>
  <c r="G1521" i="1" s="1"/>
  <c r="F1518" i="1" a="1"/>
  <c r="F1518" i="1" s="1"/>
  <c r="F1521" i="1" a="1"/>
  <c r="F1521" i="1" s="1"/>
  <c r="K1523" i="1" a="1"/>
  <c r="K1523" i="1"/>
  <c r="F1523" i="1" a="1"/>
  <c r="F1523" i="1"/>
  <c r="J1521" i="1" a="1"/>
  <c r="J1521" i="1"/>
  <c r="F1522" i="1" a="1"/>
  <c r="F1522" i="1" s="1"/>
  <c r="K1522" i="1" a="1"/>
  <c r="K1522" i="1" s="1"/>
  <c r="J1519" i="1" a="1"/>
  <c r="J1519" i="1"/>
  <c r="H1521" i="1" a="1"/>
  <c r="H1521" i="1"/>
  <c r="J1522" i="1" a="1"/>
  <c r="J1522" i="1"/>
  <c r="H1518" i="1" a="1"/>
  <c r="H1518" i="1"/>
  <c r="I1519" i="1" a="1"/>
  <c r="I1519" i="1"/>
  <c r="H1519" i="1" a="1"/>
  <c r="H1519" i="1" s="1"/>
  <c r="K1517" i="1" a="1"/>
  <c r="K1517" i="1" s="1"/>
  <c r="I1515" i="1" a="1"/>
  <c r="I1515" i="1" s="1"/>
  <c r="H1514" i="1" a="1"/>
  <c r="H1514" i="1" s="1"/>
  <c r="K1503" i="1" a="1"/>
  <c r="K1503" i="1"/>
  <c r="G1513" i="1" a="1"/>
  <c r="G1513" i="1"/>
  <c r="F1514" i="1" a="1"/>
  <c r="F1514" i="1" s="1"/>
  <c r="G1514" i="1" a="1"/>
  <c r="G1514" i="1" s="1"/>
  <c r="H1513" i="1" a="1"/>
  <c r="H1513" i="1" s="1"/>
  <c r="F1513" i="1" a="1"/>
  <c r="F1513" i="1" s="1"/>
  <c r="J1504" i="1" a="1"/>
  <c r="J1504" i="1" s="1"/>
  <c r="J1512" i="1" a="1"/>
  <c r="J1512" i="1"/>
  <c r="F1505" i="1" a="1"/>
  <c r="F1505" i="1"/>
  <c r="H1512" i="1" a="1"/>
  <c r="H1512" i="1" s="1"/>
  <c r="H1503" i="1" a="1"/>
  <c r="H1503" i="1"/>
  <c r="K1511" i="1" a="1"/>
  <c r="K1511" i="1" s="1"/>
  <c r="H1511" i="1" a="1"/>
  <c r="H1511" i="1"/>
  <c r="G1511" i="1" a="1"/>
  <c r="G1511" i="1"/>
  <c r="K1502" i="1" a="1"/>
  <c r="K1502" i="1"/>
  <c r="J1503" i="1" a="1"/>
  <c r="J1503" i="1"/>
  <c r="I1503" i="1" a="1"/>
  <c r="I1503" i="1"/>
  <c r="G1505" i="1" a="1"/>
  <c r="G1505" i="1" s="1"/>
  <c r="K1505" i="1" a="1"/>
  <c r="K1505" i="1" s="1"/>
  <c r="I1505" i="1" a="1"/>
  <c r="I1505" i="1" s="1"/>
  <c r="G1504" i="1" a="1"/>
  <c r="G1504" i="1"/>
  <c r="K1513" i="1" a="1"/>
  <c r="K1513" i="1"/>
  <c r="G1512" i="1" a="1"/>
  <c r="G1512" i="1"/>
  <c r="G1503" i="1" a="1"/>
  <c r="G1503" i="1" s="1"/>
  <c r="G1515" i="1" a="1"/>
  <c r="G1515" i="1" s="1"/>
  <c r="F1515" i="1" a="1"/>
  <c r="F1515" i="1" s="1"/>
  <c r="F1504" i="1" a="1"/>
  <c r="F1504" i="1" s="1"/>
  <c r="K1514" i="1" a="1"/>
  <c r="K1514" i="1" s="1"/>
  <c r="K1512" i="1" a="1"/>
  <c r="K1512" i="1"/>
  <c r="J1511" i="1" a="1"/>
  <c r="J1511" i="1" s="1"/>
  <c r="K1504" i="1" a="1"/>
  <c r="K1504" i="1" s="1"/>
  <c r="H1504" i="1" a="1"/>
  <c r="H1504" i="1"/>
  <c r="I1504" i="1" a="1"/>
  <c r="I1504" i="1" s="1"/>
  <c r="I1512" i="1" a="1"/>
  <c r="I1512" i="1"/>
  <c r="F1512" i="1" a="1"/>
  <c r="F1512" i="1"/>
  <c r="I1511" i="1" a="1"/>
  <c r="I1511" i="1"/>
  <c r="F1511" i="1" a="1"/>
  <c r="F1511" i="1"/>
  <c r="H1505" i="1" a="1"/>
  <c r="H1505" i="1"/>
  <c r="J1502" i="1" a="1"/>
  <c r="J1502" i="1" s="1"/>
  <c r="J1514" i="1" a="1"/>
  <c r="J1514" i="1" s="1"/>
  <c r="J1505" i="1" a="1"/>
  <c r="J1505" i="1"/>
  <c r="I1513" i="1" a="1"/>
  <c r="I1513" i="1"/>
  <c r="J1513" i="1" a="1"/>
  <c r="J1513" i="1"/>
  <c r="F1503" i="1" a="1"/>
  <c r="F1503" i="1"/>
  <c r="I1514" i="1" a="1"/>
  <c r="I1514" i="1" s="1"/>
  <c r="I1499" i="1" a="1"/>
  <c r="I1499" i="1" s="1"/>
  <c r="H1500" i="1" a="1"/>
  <c r="H1500" i="1" s="1"/>
  <c r="F1500" i="1" a="1"/>
  <c r="F1500" i="1" s="1"/>
  <c r="F1499" i="1" a="1"/>
  <c r="F1499" i="1" s="1"/>
  <c r="F1498" i="1" a="1"/>
  <c r="F1498" i="1" s="1"/>
  <c r="G1498" i="1" a="1"/>
  <c r="G1498" i="1" s="1"/>
  <c r="H1499" i="1" a="1"/>
  <c r="H1499" i="1" s="1"/>
  <c r="G1499" i="1" a="1"/>
  <c r="G1499" i="1"/>
  <c r="K1498" i="1" a="1"/>
  <c r="K1498" i="1" s="1"/>
  <c r="J1498" i="1" a="1"/>
  <c r="J1498" i="1"/>
  <c r="H1490" i="1" a="1"/>
  <c r="H1490" i="1"/>
  <c r="H1498" i="1" a="1"/>
  <c r="H1498" i="1"/>
  <c r="H1492" i="1" a="1"/>
  <c r="H1492" i="1"/>
  <c r="J1497" i="1" a="1"/>
  <c r="J1497" i="1"/>
  <c r="H1497" i="1" a="1"/>
  <c r="H1497" i="1" s="1"/>
  <c r="I1492" i="1" a="1"/>
  <c r="I1492" i="1"/>
  <c r="G1500" i="1" a="1"/>
  <c r="G1500" i="1"/>
  <c r="G1497" i="1" a="1"/>
  <c r="G1497" i="1"/>
  <c r="F1492" i="1" a="1"/>
  <c r="F1492" i="1"/>
  <c r="F1490" i="1" a="1"/>
  <c r="F1490" i="1"/>
  <c r="I1502" i="1" a="1"/>
  <c r="I1502" i="1" s="1"/>
  <c r="G1490" i="1" a="1"/>
  <c r="G1490" i="1" s="1"/>
  <c r="H1502" i="1" a="1"/>
  <c r="H1502" i="1" s="1"/>
  <c r="J1500" i="1" a="1"/>
  <c r="J1500" i="1" s="1"/>
  <c r="G1502" i="1" a="1"/>
  <c r="G1502" i="1" s="1"/>
  <c r="F1502" i="1" a="1"/>
  <c r="F1502" i="1" s="1"/>
  <c r="I1500" i="1" a="1"/>
  <c r="I1500" i="1" s="1"/>
  <c r="I1497" i="1" a="1"/>
  <c r="I1497" i="1" s="1"/>
  <c r="K1492" i="1" a="1"/>
  <c r="K1492" i="1"/>
  <c r="J1492" i="1" a="1"/>
  <c r="J1492" i="1" s="1"/>
  <c r="K1499" i="1" a="1"/>
  <c r="K1499" i="1"/>
  <c r="F1497" i="1" a="1"/>
  <c r="F1497" i="1"/>
  <c r="J1490" i="1" a="1"/>
  <c r="J1490" i="1"/>
  <c r="I1490" i="1" a="1"/>
  <c r="I1490" i="1"/>
  <c r="G1492" i="1" a="1"/>
  <c r="G1492" i="1" s="1"/>
  <c r="K1497" i="1" a="1"/>
  <c r="K1497" i="1" s="1"/>
  <c r="I1498" i="1" a="1"/>
  <c r="I1498" i="1"/>
  <c r="K1490" i="1" a="1"/>
  <c r="K1490" i="1"/>
  <c r="K1500" i="1" a="1"/>
  <c r="K1500" i="1"/>
  <c r="J1499" i="1" a="1"/>
  <c r="J1499" i="1"/>
  <c r="F1483" i="1" a="1"/>
  <c r="F1483" i="1"/>
  <c r="G1454" i="1" a="1"/>
  <c r="G1454" i="1" s="1"/>
  <c r="H1454" i="1" a="1"/>
  <c r="H1454" i="1" s="1"/>
  <c r="J1454" i="1" a="1"/>
  <c r="J1454" i="1" s="1"/>
  <c r="I1454" i="1" a="1"/>
  <c r="I1454" i="1" s="1"/>
  <c r="I1453" i="1" a="1"/>
  <c r="I1453" i="1"/>
  <c r="K1483" i="1" a="1"/>
  <c r="K1483" i="1" s="1"/>
  <c r="F1485" i="1" a="1"/>
  <c r="F1485" i="1" s="1"/>
  <c r="J1453" i="1" a="1"/>
  <c r="J1453" i="1" s="1"/>
  <c r="H1455" i="1" a="1"/>
  <c r="H1455" i="1"/>
  <c r="G1485" i="1" a="1"/>
  <c r="G1485" i="1" s="1"/>
  <c r="J1483" i="1" a="1"/>
  <c r="J1483" i="1"/>
  <c r="F1455" i="1" a="1"/>
  <c r="F1455" i="1"/>
  <c r="J1456" i="1" a="1"/>
  <c r="J1456" i="1"/>
  <c r="G1455" i="1" a="1"/>
  <c r="G1455" i="1" s="1"/>
  <c r="K1455" i="1" a="1"/>
  <c r="K1455" i="1" s="1"/>
  <c r="H1483" i="1" a="1"/>
  <c r="H1483" i="1" s="1"/>
  <c r="G1483" i="1" a="1"/>
  <c r="G1483" i="1"/>
  <c r="F1454" i="1" a="1"/>
  <c r="F1454" i="1"/>
  <c r="I1456" i="1" a="1"/>
  <c r="I1456" i="1"/>
  <c r="I1455" i="1" a="1"/>
  <c r="I1455" i="1"/>
  <c r="K1454" i="1" a="1"/>
  <c r="K1454" i="1"/>
  <c r="K1453" i="1" a="1"/>
  <c r="K1453" i="1" s="1"/>
  <c r="F1456" i="1" a="1"/>
  <c r="F1456" i="1" s="1"/>
  <c r="H1456" i="1" a="1"/>
  <c r="H1456" i="1" s="1"/>
  <c r="J1455" i="1" a="1"/>
  <c r="J1455" i="1"/>
  <c r="G1456" i="1" a="1"/>
  <c r="G1456" i="1"/>
  <c r="K1485" i="1" a="1"/>
  <c r="K1485" i="1" s="1"/>
  <c r="J1485" i="1" a="1"/>
  <c r="J1485" i="1" s="1"/>
  <c r="K1456" i="1" a="1"/>
  <c r="K1456" i="1" s="1"/>
  <c r="I1485" i="1" a="1"/>
  <c r="I1485" i="1"/>
  <c r="H1485" i="1" a="1"/>
  <c r="H1485" i="1" s="1"/>
  <c r="I1483" i="1" a="1"/>
  <c r="I1483" i="1"/>
  <c r="H1449" i="1" a="1"/>
  <c r="H1449" i="1"/>
  <c r="G1446" i="1" a="1"/>
  <c r="G1446" i="1" s="1"/>
  <c r="H1450" i="1" a="1"/>
  <c r="H1450" i="1" s="1"/>
  <c r="G1450" i="1" a="1"/>
  <c r="G1450" i="1" s="1"/>
  <c r="F1450" i="1" a="1"/>
  <c r="F1450" i="1" s="1"/>
  <c r="F1449" i="1" a="1"/>
  <c r="F1449" i="1"/>
  <c r="I1446" i="1" a="1"/>
  <c r="I1446" i="1"/>
  <c r="K1445" i="1" a="1"/>
  <c r="K1445" i="1"/>
  <c r="K1446" i="1" a="1"/>
  <c r="K1446" i="1"/>
  <c r="H1446" i="1" a="1"/>
  <c r="H1446" i="1"/>
  <c r="G1445" i="1" a="1"/>
  <c r="G1445" i="1" s="1"/>
  <c r="I1443" i="1" a="1"/>
  <c r="I1443" i="1" s="1"/>
  <c r="G1449" i="1" a="1"/>
  <c r="G1449" i="1"/>
  <c r="J1448" i="1" a="1"/>
  <c r="J1448" i="1"/>
  <c r="H1448" i="1" a="1"/>
  <c r="H1448" i="1"/>
  <c r="I1445" i="1" a="1"/>
  <c r="I1445" i="1" s="1"/>
  <c r="H1445" i="1" a="1"/>
  <c r="H1445" i="1" s="1"/>
  <c r="K1442" i="1" a="1"/>
  <c r="K1442" i="1" s="1"/>
  <c r="J1443" i="1" a="1"/>
  <c r="J1443" i="1"/>
  <c r="J1447" i="1" a="1"/>
  <c r="J1447" i="1" s="1"/>
  <c r="H1447" i="1" a="1"/>
  <c r="H1447" i="1"/>
  <c r="G1443" i="1" a="1"/>
  <c r="G1443" i="1" s="1"/>
  <c r="F1446" i="1" a="1"/>
  <c r="F1446" i="1" s="1"/>
  <c r="K1444" i="1" a="1"/>
  <c r="K1444" i="1" s="1"/>
  <c r="I1444" i="1" a="1"/>
  <c r="I1444" i="1" s="1"/>
  <c r="G1444" i="1" a="1"/>
  <c r="G1444" i="1" s="1"/>
  <c r="J1450" i="1" a="1"/>
  <c r="J1450" i="1"/>
  <c r="J1445" i="1" a="1"/>
  <c r="J1445" i="1"/>
  <c r="G1448" i="1" a="1"/>
  <c r="G1448" i="1"/>
  <c r="K1447" i="1" a="1"/>
  <c r="K1447" i="1"/>
  <c r="J1444" i="1" a="1"/>
  <c r="J1444" i="1"/>
  <c r="I1448" i="1" a="1"/>
  <c r="I1448" i="1" s="1"/>
  <c r="F1443" i="1" a="1"/>
  <c r="F1443" i="1"/>
  <c r="K1449" i="1" a="1"/>
  <c r="K1449" i="1"/>
  <c r="G1452" i="1" a="1"/>
  <c r="G1452" i="1"/>
  <c r="K1448" i="1" a="1"/>
  <c r="K1448" i="1"/>
  <c r="F1447" i="1" a="1"/>
  <c r="F1447" i="1" s="1"/>
  <c r="H1443" i="1" a="1"/>
  <c r="H1443" i="1" s="1"/>
  <c r="H1453" i="1" a="1"/>
  <c r="H1453" i="1" s="1"/>
  <c r="J1446" i="1" a="1"/>
  <c r="J1446" i="1"/>
  <c r="F1445" i="1" a="1"/>
  <c r="F1445" i="1" s="1"/>
  <c r="G1453" i="1" a="1"/>
  <c r="G1453" i="1" s="1"/>
  <c r="F1452" i="1" a="1"/>
  <c r="F1452" i="1" s="1"/>
  <c r="I1447" i="1" a="1"/>
  <c r="I1447" i="1" s="1"/>
  <c r="H1444" i="1" a="1"/>
  <c r="H1444" i="1" s="1"/>
  <c r="F1453" i="1" a="1"/>
  <c r="F1453" i="1" s="1"/>
  <c r="K1443" i="1" a="1"/>
  <c r="K1443" i="1" s="1"/>
  <c r="K1452" i="1" a="1"/>
  <c r="K1452" i="1"/>
  <c r="J1452" i="1" a="1"/>
  <c r="J1452" i="1"/>
  <c r="I1452" i="1" a="1"/>
  <c r="I1452" i="1"/>
  <c r="J1451" i="1" a="1"/>
  <c r="J1451" i="1"/>
  <c r="G1447" i="1" a="1"/>
  <c r="G1447" i="1" s="1"/>
  <c r="F1444" i="1" a="1"/>
  <c r="F1444" i="1"/>
  <c r="I1451" i="1" a="1"/>
  <c r="I1451" i="1"/>
  <c r="H1452" i="1" a="1"/>
  <c r="H1452" i="1"/>
  <c r="J1449" i="1" a="1"/>
  <c r="J1449" i="1"/>
  <c r="K1451" i="1" a="1"/>
  <c r="K1451" i="1"/>
  <c r="H1451" i="1" a="1"/>
  <c r="H1451" i="1" s="1"/>
  <c r="G1451" i="1" a="1"/>
  <c r="G1451" i="1" s="1"/>
  <c r="F1451" i="1" a="1"/>
  <c r="F1451" i="1" s="1"/>
  <c r="K1450" i="1" a="1"/>
  <c r="K1450" i="1"/>
  <c r="I1450" i="1" a="1"/>
  <c r="I1450" i="1" s="1"/>
  <c r="F1448" i="1" a="1"/>
  <c r="F1448" i="1"/>
  <c r="I1449" i="1" a="1"/>
  <c r="I1449" i="1" s="1"/>
  <c r="F1441" i="1" a="1"/>
  <c r="F1441" i="1" s="1"/>
  <c r="J1440" i="1" a="1"/>
  <c r="J1440" i="1" s="1"/>
  <c r="K1436" i="1" a="1"/>
  <c r="K1436" i="1" s="1"/>
  <c r="H1434" i="1" a="1"/>
  <c r="H1434" i="1" s="1"/>
  <c r="H1440" i="1" a="1"/>
  <c r="H1440" i="1"/>
  <c r="G1437" i="1" a="1"/>
  <c r="G1437" i="1"/>
  <c r="K1438" i="1" a="1"/>
  <c r="K1438" i="1"/>
  <c r="I1438" i="1" a="1"/>
  <c r="I1438" i="1" s="1"/>
  <c r="J1434" i="1" a="1"/>
  <c r="J1434" i="1" s="1"/>
  <c r="G1436" i="1" a="1"/>
  <c r="G1436" i="1"/>
  <c r="J1437" i="1" a="1"/>
  <c r="J1437" i="1"/>
  <c r="F1440" i="1" a="1"/>
  <c r="F1440" i="1"/>
  <c r="K1439" i="1" a="1"/>
  <c r="K1439" i="1"/>
  <c r="J1439" i="1" a="1"/>
  <c r="J1439" i="1"/>
  <c r="G1438" i="1" a="1"/>
  <c r="G1438" i="1" s="1"/>
  <c r="J1436" i="1" a="1"/>
  <c r="J1436" i="1" s="1"/>
  <c r="I1436" i="1" a="1"/>
  <c r="I1436" i="1" s="1"/>
  <c r="J1435" i="1" a="1"/>
  <c r="J1435" i="1" s="1"/>
  <c r="H1435" i="1" a="1"/>
  <c r="H1435" i="1"/>
  <c r="J1442" i="1" a="1"/>
  <c r="J1442" i="1"/>
  <c r="I1434" i="1" a="1"/>
  <c r="I1434" i="1" s="1"/>
  <c r="I1442" i="1" a="1"/>
  <c r="I1442" i="1" s="1"/>
  <c r="H1442" i="1" a="1"/>
  <c r="H1442" i="1" s="1"/>
  <c r="G1439" i="1" a="1"/>
  <c r="G1439" i="1" s="1"/>
  <c r="J1432" i="1" a="1"/>
  <c r="J1432" i="1" s="1"/>
  <c r="H1437" i="1" a="1"/>
  <c r="H1437" i="1"/>
  <c r="F1434" i="1" a="1"/>
  <c r="F1434" i="1"/>
  <c r="G1442" i="1" a="1"/>
  <c r="G1442" i="1" s="1"/>
  <c r="F1442" i="1" a="1"/>
  <c r="F1442" i="1"/>
  <c r="K1441" i="1" a="1"/>
  <c r="K1441" i="1" s="1"/>
  <c r="I1440" i="1" a="1"/>
  <c r="I1440" i="1"/>
  <c r="G1440" i="1" a="1"/>
  <c r="G1440" i="1"/>
  <c r="H1439" i="1" a="1"/>
  <c r="H1439" i="1"/>
  <c r="J1438" i="1" a="1"/>
  <c r="J1438" i="1"/>
  <c r="I1437" i="1" a="1"/>
  <c r="I1437" i="1"/>
  <c r="F1437" i="1" a="1"/>
  <c r="F1437" i="1" s="1"/>
  <c r="F1436" i="1" a="1"/>
  <c r="F1436" i="1" s="1"/>
  <c r="I1435" i="1" a="1"/>
  <c r="I1435" i="1" s="1"/>
  <c r="K1435" i="1" a="1"/>
  <c r="K1435" i="1"/>
  <c r="G1434" i="1" a="1"/>
  <c r="G1434" i="1"/>
  <c r="H1436" i="1" a="1"/>
  <c r="H1436" i="1"/>
  <c r="J1441" i="1" a="1"/>
  <c r="J1441" i="1" s="1"/>
  <c r="I1439" i="1" a="1"/>
  <c r="I1439" i="1" s="1"/>
  <c r="F1439" i="1" a="1"/>
  <c r="F1439" i="1" s="1"/>
  <c r="I1432" i="1" a="1"/>
  <c r="I1432" i="1" s="1"/>
  <c r="I1441" i="1" a="1"/>
  <c r="I1441" i="1" s="1"/>
  <c r="K1440" i="1" a="1"/>
  <c r="K1440" i="1"/>
  <c r="F1435" i="1" a="1"/>
  <c r="F1435" i="1" s="1"/>
  <c r="H1438" i="1" a="1"/>
  <c r="H1438" i="1" s="1"/>
  <c r="F1438" i="1" a="1"/>
  <c r="F1438" i="1"/>
  <c r="K1434" i="1" a="1"/>
  <c r="K1434" i="1" s="1"/>
  <c r="K1437" i="1" a="1"/>
  <c r="K1437" i="1"/>
  <c r="K1432" i="1" a="1"/>
  <c r="K1432" i="1"/>
  <c r="H1441" i="1" a="1"/>
  <c r="H1441" i="1"/>
  <c r="G1441" i="1" a="1"/>
  <c r="G1441" i="1"/>
  <c r="G1435" i="1" a="1"/>
  <c r="G1435" i="1"/>
  <c r="K1421" i="1" a="1"/>
  <c r="K1421" i="1" s="1"/>
  <c r="F1430" i="1" a="1"/>
  <c r="F1430" i="1" s="1"/>
  <c r="F1429" i="1" a="1"/>
  <c r="F1429" i="1"/>
  <c r="I1430" i="1" a="1"/>
  <c r="I1430" i="1"/>
  <c r="H1420" i="1" a="1"/>
  <c r="H1420" i="1"/>
  <c r="F1432" i="1" a="1"/>
  <c r="F1432" i="1"/>
  <c r="J1431" i="1" a="1"/>
  <c r="J1431" i="1" s="1"/>
  <c r="K1431" i="1" a="1"/>
  <c r="K1431" i="1" s="1"/>
  <c r="G1430" i="1" a="1"/>
  <c r="G1430" i="1" s="1"/>
  <c r="I1420" i="1" a="1"/>
  <c r="I1420" i="1" s="1"/>
  <c r="H1431" i="1" a="1"/>
  <c r="H1431" i="1" s="1"/>
  <c r="J1429" i="1" a="1"/>
  <c r="J1429" i="1" s="1"/>
  <c r="J1428" i="1" a="1"/>
  <c r="J1428" i="1" s="1"/>
  <c r="I1431" i="1" a="1"/>
  <c r="I1431" i="1" s="1"/>
  <c r="K1430" i="1" a="1"/>
  <c r="K1430" i="1"/>
  <c r="J1420" i="1" a="1"/>
  <c r="J1420" i="1" s="1"/>
  <c r="G1431" i="1" a="1"/>
  <c r="G1431" i="1"/>
  <c r="F1431" i="1" a="1"/>
  <c r="F1431" i="1"/>
  <c r="K1422" i="1" a="1"/>
  <c r="K1422" i="1"/>
  <c r="J1421" i="1" a="1"/>
  <c r="J1421" i="1"/>
  <c r="H1430" i="1" a="1"/>
  <c r="H1430" i="1"/>
  <c r="H1421" i="1" a="1"/>
  <c r="H1421" i="1" s="1"/>
  <c r="J1430" i="1" a="1"/>
  <c r="J1430" i="1"/>
  <c r="K1429" i="1" a="1"/>
  <c r="K1429" i="1"/>
  <c r="I1429" i="1" a="1"/>
  <c r="I1429" i="1"/>
  <c r="H1429" i="1" a="1"/>
  <c r="H1429" i="1"/>
  <c r="G1429" i="1" a="1"/>
  <c r="G1429" i="1"/>
  <c r="K1428" i="1" a="1"/>
  <c r="K1428" i="1" s="1"/>
  <c r="I1428" i="1" a="1"/>
  <c r="I1428" i="1" s="1"/>
  <c r="H1428" i="1" a="1"/>
  <c r="H1428" i="1" s="1"/>
  <c r="G1428" i="1" a="1"/>
  <c r="G1428" i="1" s="1"/>
  <c r="F1428" i="1" a="1"/>
  <c r="F1428" i="1" s="1"/>
  <c r="K1420" i="1" a="1"/>
  <c r="K1420" i="1" s="1"/>
  <c r="G1421" i="1" a="1"/>
  <c r="G1421" i="1" s="1"/>
  <c r="G1422" i="1" a="1"/>
  <c r="G1422" i="1" s="1"/>
  <c r="F1422" i="1" a="1"/>
  <c r="F1422" i="1"/>
  <c r="I1422" i="1" a="1"/>
  <c r="I1422" i="1" s="1"/>
  <c r="I1421" i="1" a="1"/>
  <c r="I1421" i="1"/>
  <c r="F1421" i="1" a="1"/>
  <c r="F1421" i="1"/>
  <c r="H1422" i="1" a="1"/>
  <c r="H1422" i="1"/>
  <c r="H1432" i="1" a="1"/>
  <c r="H1432" i="1"/>
  <c r="J1422" i="1" a="1"/>
  <c r="J1422" i="1" s="1"/>
  <c r="G1432" i="1" a="1"/>
  <c r="G1432" i="1" s="1"/>
  <c r="J1408" i="1" a="1"/>
  <c r="J1408" i="1"/>
  <c r="H1418" i="1" a="1"/>
  <c r="H1418" i="1"/>
  <c r="H1414" i="1" a="1"/>
  <c r="H1414" i="1"/>
  <c r="K1408" i="1" a="1"/>
  <c r="K1408" i="1"/>
  <c r="J1417" i="1" a="1"/>
  <c r="J1417" i="1"/>
  <c r="F1417" i="1" a="1"/>
  <c r="F1417" i="1" s="1"/>
  <c r="I1416" i="1" a="1"/>
  <c r="I1416" i="1" s="1"/>
  <c r="J1415" i="1" a="1"/>
  <c r="J1415" i="1" s="1"/>
  <c r="G1416" i="1" a="1"/>
  <c r="G1416" i="1" s="1"/>
  <c r="F1416" i="1" a="1"/>
  <c r="F1416" i="1"/>
  <c r="F1414" i="1" a="1"/>
  <c r="F1414" i="1" s="1"/>
  <c r="I1408" i="1" a="1"/>
  <c r="I1408" i="1" s="1"/>
  <c r="K1407" i="1" a="1"/>
  <c r="K1407" i="1" s="1"/>
  <c r="G1417" i="1" a="1"/>
  <c r="G1417" i="1"/>
  <c r="I1415" i="1" a="1"/>
  <c r="I1415" i="1" s="1"/>
  <c r="I1407" i="1" a="1"/>
  <c r="I1407" i="1"/>
  <c r="J1407" i="1" a="1"/>
  <c r="J1407" i="1"/>
  <c r="G1420" i="1" a="1"/>
  <c r="G1420" i="1"/>
  <c r="F1420" i="1" a="1"/>
  <c r="F1420" i="1" s="1"/>
  <c r="K1419" i="1" a="1"/>
  <c r="K1419" i="1" s="1"/>
  <c r="H1419" i="1" a="1"/>
  <c r="H1419" i="1" s="1"/>
  <c r="J1419" i="1" a="1"/>
  <c r="J1419" i="1"/>
  <c r="I1419" i="1" a="1"/>
  <c r="I1419" i="1"/>
  <c r="G1419" i="1" a="1"/>
  <c r="G1419" i="1"/>
  <c r="F1419" i="1" a="1"/>
  <c r="F1419" i="1"/>
  <c r="K1418" i="1" a="1"/>
  <c r="K1418" i="1"/>
  <c r="J1418" i="1" a="1"/>
  <c r="J1418" i="1" s="1"/>
  <c r="F1408" i="1" a="1"/>
  <c r="F1408" i="1" s="1"/>
  <c r="I1418" i="1" a="1"/>
  <c r="I1418" i="1" s="1"/>
  <c r="G1418" i="1" a="1"/>
  <c r="G1418" i="1"/>
  <c r="F1418" i="1" a="1"/>
  <c r="F1418" i="1"/>
  <c r="K1417" i="1" a="1"/>
  <c r="K1417" i="1" s="1"/>
  <c r="I1417" i="1" a="1"/>
  <c r="I1417" i="1" s="1"/>
  <c r="H1417" i="1" a="1"/>
  <c r="H1417" i="1" s="1"/>
  <c r="K1416" i="1" a="1"/>
  <c r="K1416" i="1"/>
  <c r="J1416" i="1" a="1"/>
  <c r="J1416" i="1" s="1"/>
  <c r="F1415" i="1" a="1"/>
  <c r="F1415" i="1"/>
  <c r="K1414" i="1" a="1"/>
  <c r="K1414" i="1"/>
  <c r="J1414" i="1" a="1"/>
  <c r="J1414" i="1" s="1"/>
  <c r="I1414" i="1" a="1"/>
  <c r="I1414" i="1" s="1"/>
  <c r="K1415" i="1" a="1"/>
  <c r="K1415" i="1" s="1"/>
  <c r="G1408" i="1" a="1"/>
  <c r="G1408" i="1" s="1"/>
  <c r="H1416" i="1" a="1"/>
  <c r="H1416" i="1"/>
  <c r="H1415" i="1" a="1"/>
  <c r="H1415" i="1"/>
  <c r="G1415" i="1" a="1"/>
  <c r="G1415" i="1"/>
  <c r="G1414" i="1" a="1"/>
  <c r="G1414" i="1"/>
  <c r="H1408" i="1" a="1"/>
  <c r="H1408" i="1"/>
  <c r="K1400" i="1" a="1"/>
  <c r="K1400" i="1" s="1"/>
  <c r="I1399" i="1" a="1"/>
  <c r="I1399" i="1" s="1"/>
  <c r="J1402" i="1" a="1"/>
  <c r="J1402" i="1"/>
  <c r="H1406" i="1" a="1"/>
  <c r="H1406" i="1"/>
  <c r="J1401" i="1" a="1"/>
  <c r="J1401" i="1"/>
  <c r="F1406" i="1" a="1"/>
  <c r="F1406" i="1" s="1"/>
  <c r="H1405" i="1" a="1"/>
  <c r="H1405" i="1" s="1"/>
  <c r="K1401" i="1" a="1"/>
  <c r="K1401" i="1" s="1"/>
  <c r="H1401" i="1" a="1"/>
  <c r="H1401" i="1"/>
  <c r="H1399" i="1" a="1"/>
  <c r="H1399" i="1" s="1"/>
  <c r="H1407" i="1" a="1"/>
  <c r="H1407" i="1"/>
  <c r="G1407" i="1" a="1"/>
  <c r="G1407" i="1" s="1"/>
  <c r="K1405" i="1" a="1"/>
  <c r="K1405" i="1" s="1"/>
  <c r="F1405" i="1" a="1"/>
  <c r="F1405" i="1" s="1"/>
  <c r="I1401" i="1" a="1"/>
  <c r="I1401" i="1" s="1"/>
  <c r="F1407" i="1" a="1"/>
  <c r="F1407" i="1" s="1"/>
  <c r="G1402" i="1" a="1"/>
  <c r="G1402" i="1"/>
  <c r="F1401" i="1" a="1"/>
  <c r="F1401" i="1"/>
  <c r="K1406" i="1" a="1"/>
  <c r="K1406" i="1"/>
  <c r="I1402" i="1" a="1"/>
  <c r="I1402" i="1"/>
  <c r="K1402" i="1" a="1"/>
  <c r="K1402" i="1"/>
  <c r="I1406" i="1" a="1"/>
  <c r="I1406" i="1" s="1"/>
  <c r="G1405" i="1" a="1"/>
  <c r="G1405" i="1"/>
  <c r="I1405" i="1" a="1"/>
  <c r="I1405" i="1"/>
  <c r="I1403" i="1" a="1"/>
  <c r="I1403" i="1"/>
  <c r="J1399" i="1" a="1"/>
  <c r="J1399" i="1"/>
  <c r="H1400" i="1" a="1"/>
  <c r="H1400" i="1" s="1"/>
  <c r="G1406" i="1" a="1"/>
  <c r="G1406" i="1" s="1"/>
  <c r="J1405" i="1" a="1"/>
  <c r="J1405" i="1" s="1"/>
  <c r="K1403" i="1" a="1"/>
  <c r="K1403" i="1"/>
  <c r="J1403" i="1" a="1"/>
  <c r="J1403" i="1" s="1"/>
  <c r="H1403" i="1" a="1"/>
  <c r="H1403" i="1" s="1"/>
  <c r="G1403" i="1" a="1"/>
  <c r="G1403" i="1" s="1"/>
  <c r="F1403" i="1" a="1"/>
  <c r="F1403" i="1" s="1"/>
  <c r="G1401" i="1" a="1"/>
  <c r="G1401" i="1" s="1"/>
  <c r="J1400" i="1" a="1"/>
  <c r="J1400" i="1" s="1"/>
  <c r="I1400" i="1" a="1"/>
  <c r="I1400" i="1" s="1"/>
  <c r="G1400" i="1" a="1"/>
  <c r="G1400" i="1"/>
  <c r="F1400" i="1" a="1"/>
  <c r="F1400" i="1"/>
  <c r="H1402" i="1" a="1"/>
  <c r="H1402" i="1"/>
  <c r="G1399" i="1" a="1"/>
  <c r="G1399" i="1"/>
  <c r="F1399" i="1" a="1"/>
  <c r="F1399" i="1" s="1"/>
  <c r="K1399" i="1" a="1"/>
  <c r="K1399" i="1"/>
  <c r="J1406" i="1" a="1"/>
  <c r="J1406" i="1"/>
  <c r="F1402" i="1" a="1"/>
  <c r="F1402" i="1"/>
  <c r="I1372" i="1" a="1"/>
  <c r="I1372" i="1"/>
  <c r="F1371" i="1" a="1"/>
  <c r="F1371" i="1"/>
  <c r="H1368" i="1" a="1"/>
  <c r="H1368" i="1" s="1"/>
  <c r="J1366" i="1" a="1"/>
  <c r="J1366" i="1" s="1"/>
  <c r="I1371" i="1" a="1"/>
  <c r="I1371" i="1" s="1"/>
  <c r="J1369" i="1" a="1"/>
  <c r="J1369" i="1"/>
  <c r="J1372" i="1" a="1"/>
  <c r="J1372" i="1" s="1"/>
  <c r="F1370" i="1" a="1"/>
  <c r="F1370" i="1"/>
  <c r="K1369" i="1" a="1"/>
  <c r="K1369" i="1" s="1"/>
  <c r="J1371" i="1" a="1"/>
  <c r="J1371" i="1" s="1"/>
  <c r="H1369" i="1" a="1"/>
  <c r="H1369" i="1" s="1"/>
  <c r="K1372" i="1" a="1"/>
  <c r="K1372" i="1" s="1"/>
  <c r="H1372" i="1" a="1"/>
  <c r="H1372" i="1" s="1"/>
  <c r="F1372" i="1" a="1"/>
  <c r="F1372" i="1"/>
  <c r="K1367" i="1" a="1"/>
  <c r="K1367" i="1"/>
  <c r="H1367" i="1" a="1"/>
  <c r="H1367" i="1"/>
  <c r="F1367" i="1" a="1"/>
  <c r="F1367" i="1" s="1"/>
  <c r="H1366" i="1" a="1"/>
  <c r="H1366" i="1" s="1"/>
  <c r="G1371" i="1" a="1"/>
  <c r="G1371" i="1"/>
  <c r="K1368" i="1" a="1"/>
  <c r="K1368" i="1"/>
  <c r="G1370" i="1" a="1"/>
  <c r="G1370" i="1"/>
  <c r="I1370" i="1" a="1"/>
  <c r="I1370" i="1"/>
  <c r="I1368" i="1" a="1"/>
  <c r="I1368" i="1"/>
  <c r="G1367" i="1" a="1"/>
  <c r="G1367" i="1" s="1"/>
  <c r="K1366" i="1" a="1"/>
  <c r="K1366" i="1" s="1"/>
  <c r="G1372" i="1" a="1"/>
  <c r="G1372" i="1" s="1"/>
  <c r="K1371" i="1" a="1"/>
  <c r="K1371" i="1" s="1"/>
  <c r="J1367" i="1" a="1"/>
  <c r="J1367" i="1"/>
  <c r="G1369" i="1" a="1"/>
  <c r="G1369" i="1"/>
  <c r="H1371" i="1" a="1"/>
  <c r="H1371" i="1" s="1"/>
  <c r="K1370" i="1" a="1"/>
  <c r="K1370" i="1" s="1"/>
  <c r="J1370" i="1" a="1"/>
  <c r="J1370" i="1" s="1"/>
  <c r="I1369" i="1" a="1"/>
  <c r="I1369" i="1" s="1"/>
  <c r="F1368" i="1" a="1"/>
  <c r="F1368" i="1" s="1"/>
  <c r="I1366" i="1" a="1"/>
  <c r="I1366" i="1"/>
  <c r="G1366" i="1" a="1"/>
  <c r="G1366" i="1"/>
  <c r="F1369" i="1" a="1"/>
  <c r="F1369" i="1" s="1"/>
  <c r="H1370" i="1" a="1"/>
  <c r="H1370" i="1"/>
  <c r="J1368" i="1" a="1"/>
  <c r="J1368" i="1" s="1"/>
  <c r="G1368" i="1" a="1"/>
  <c r="G1368" i="1"/>
  <c r="I1367" i="1" a="1"/>
  <c r="I1367" i="1"/>
  <c r="F1364" i="1" a="1"/>
  <c r="F1364" i="1"/>
  <c r="J1360" i="1" a="1"/>
  <c r="J1360" i="1"/>
  <c r="G1359" i="1" a="1"/>
  <c r="G1359" i="1"/>
  <c r="I1364" i="1" a="1"/>
  <c r="I1364" i="1" s="1"/>
  <c r="G1364" i="1" a="1"/>
  <c r="G1364" i="1" s="1"/>
  <c r="I1362" i="1" a="1"/>
  <c r="I1362" i="1" s="1"/>
  <c r="H1360" i="1" a="1"/>
  <c r="H1360" i="1"/>
  <c r="I1355" i="1" a="1"/>
  <c r="I1355" i="1"/>
  <c r="I1357" i="1" a="1"/>
  <c r="I1357" i="1"/>
  <c r="K1361" i="1" a="1"/>
  <c r="K1361" i="1" s="1"/>
  <c r="K1356" i="1" a="1"/>
  <c r="K1356" i="1" s="1"/>
  <c r="G1358" i="1" a="1"/>
  <c r="G1358" i="1" s="1"/>
  <c r="H1357" i="1" a="1"/>
  <c r="H1357" i="1" s="1"/>
  <c r="K1362" i="1" a="1"/>
  <c r="K1362" i="1" s="1"/>
  <c r="K1363" i="1" a="1"/>
  <c r="K1363" i="1"/>
  <c r="J1363" i="1" a="1"/>
  <c r="J1363" i="1" s="1"/>
  <c r="H1356" i="1" a="1"/>
  <c r="H1356" i="1" s="1"/>
  <c r="K1355" i="1" a="1"/>
  <c r="K1355" i="1"/>
  <c r="I1360" i="1" a="1"/>
  <c r="I1360" i="1" s="1"/>
  <c r="F1359" i="1" a="1"/>
  <c r="F1359" i="1"/>
  <c r="F1358" i="1" a="1"/>
  <c r="F1358" i="1"/>
  <c r="I1363" i="1" a="1"/>
  <c r="I1363" i="1"/>
  <c r="H1363" i="1" a="1"/>
  <c r="H1363" i="1"/>
  <c r="F1363" i="1" a="1"/>
  <c r="F1363" i="1"/>
  <c r="F1362" i="1" a="1"/>
  <c r="F1362" i="1" s="1"/>
  <c r="H1358" i="1" a="1"/>
  <c r="H1358" i="1" s="1"/>
  <c r="J1356" i="1" a="1"/>
  <c r="J1356" i="1"/>
  <c r="G1356" i="1" a="1"/>
  <c r="G1356" i="1"/>
  <c r="F1361" i="1" a="1"/>
  <c r="F1361" i="1"/>
  <c r="J1358" i="1" a="1"/>
  <c r="J1358" i="1"/>
  <c r="J1359" i="1" a="1"/>
  <c r="J1359" i="1" s="1"/>
  <c r="J1365" i="1" a="1"/>
  <c r="J1365" i="1" s="1"/>
  <c r="H1361" i="1" a="1"/>
  <c r="H1361" i="1" s="1"/>
  <c r="K1365" i="1" a="1"/>
  <c r="K1365" i="1" s="1"/>
  <c r="H1365" i="1" a="1"/>
  <c r="H1365" i="1" s="1"/>
  <c r="G1365" i="1" a="1"/>
  <c r="G1365" i="1" s="1"/>
  <c r="H1364" i="1" a="1"/>
  <c r="H1364" i="1" s="1"/>
  <c r="G1363" i="1" a="1"/>
  <c r="G1363" i="1" s="1"/>
  <c r="J1362" i="1" a="1"/>
  <c r="J1362" i="1"/>
  <c r="H1362" i="1" a="1"/>
  <c r="H1362" i="1" s="1"/>
  <c r="J1361" i="1" a="1"/>
  <c r="J1361" i="1"/>
  <c r="I1361" i="1" a="1"/>
  <c r="I1361" i="1"/>
  <c r="F1360" i="1" a="1"/>
  <c r="F1360" i="1"/>
  <c r="I1359" i="1" a="1"/>
  <c r="I1359" i="1"/>
  <c r="J1357" i="1" a="1"/>
  <c r="J1357" i="1"/>
  <c r="H1359" i="1" a="1"/>
  <c r="H1359" i="1" s="1"/>
  <c r="F1357" i="1" a="1"/>
  <c r="F1357" i="1"/>
  <c r="K1357" i="1" a="1"/>
  <c r="K1357" i="1"/>
  <c r="I1356" i="1" a="1"/>
  <c r="I1356" i="1"/>
  <c r="F1356" i="1" a="1"/>
  <c r="F1356" i="1"/>
  <c r="J1355" i="1" a="1"/>
  <c r="J1355" i="1"/>
  <c r="K1358" i="1" a="1"/>
  <c r="K1358" i="1" s="1"/>
  <c r="G1362" i="1" a="1"/>
  <c r="G1362" i="1" s="1"/>
  <c r="K1360" i="1" a="1"/>
  <c r="K1360" i="1" s="1"/>
  <c r="G1360" i="1" a="1"/>
  <c r="G1360" i="1" s="1"/>
  <c r="I1358" i="1" a="1"/>
  <c r="I1358" i="1" s="1"/>
  <c r="G1357" i="1" a="1"/>
  <c r="G1357" i="1" s="1"/>
  <c r="F1366" i="1" a="1"/>
  <c r="F1366" i="1" s="1"/>
  <c r="G1361" i="1" a="1"/>
  <c r="G1361" i="1" s="1"/>
  <c r="K1359" i="1" a="1"/>
  <c r="K1359" i="1"/>
  <c r="I1365" i="1" a="1"/>
  <c r="I1365" i="1" s="1"/>
  <c r="F1365" i="1" a="1"/>
  <c r="F1365" i="1"/>
  <c r="K1364" i="1" a="1"/>
  <c r="K1364" i="1"/>
  <c r="J1364" i="1" a="1"/>
  <c r="J1364" i="1"/>
  <c r="H1352" i="1" a="1"/>
  <c r="H1352" i="1"/>
  <c r="I1351" i="1" a="1"/>
  <c r="I1351" i="1" s="1"/>
  <c r="H1351" i="1" a="1"/>
  <c r="H1351" i="1" s="1"/>
  <c r="J1344" i="1" a="1"/>
  <c r="J1344" i="1"/>
  <c r="F1347" i="1" a="1"/>
  <c r="F1347" i="1"/>
  <c r="F1346" i="1" a="1"/>
  <c r="F1346" i="1"/>
  <c r="H1345" i="1" a="1"/>
  <c r="H1345" i="1"/>
  <c r="J1348" i="1" a="1"/>
  <c r="J1348" i="1"/>
  <c r="F1351" i="1" a="1"/>
  <c r="F1351" i="1" s="1"/>
  <c r="J1350" i="1" a="1"/>
  <c r="J1350" i="1" s="1"/>
  <c r="K1348" i="1" a="1"/>
  <c r="K1348" i="1" s="1"/>
  <c r="G1346" i="1" a="1"/>
  <c r="G1346" i="1" s="1"/>
  <c r="H1348" i="1" a="1"/>
  <c r="H1348" i="1"/>
  <c r="G1348" i="1" a="1"/>
  <c r="G1348" i="1" s="1"/>
  <c r="K1347" i="1" a="1"/>
  <c r="K1347" i="1" s="1"/>
  <c r="J1347" i="1" a="1"/>
  <c r="J1347" i="1" s="1"/>
  <c r="K1345" i="1" a="1"/>
  <c r="K1345" i="1"/>
  <c r="H1346" i="1" a="1"/>
  <c r="H1346" i="1" s="1"/>
  <c r="G1354" i="1" a="1"/>
  <c r="G1354" i="1"/>
  <c r="F1353" i="1" a="1"/>
  <c r="F1353" i="1"/>
  <c r="F1352" i="1" a="1"/>
  <c r="F1352" i="1"/>
  <c r="K1351" i="1" a="1"/>
  <c r="K1351" i="1" s="1"/>
  <c r="H1355" i="1" a="1"/>
  <c r="H1355" i="1" s="1"/>
  <c r="G1355" i="1" a="1"/>
  <c r="G1355" i="1" s="1"/>
  <c r="F1355" i="1" a="1"/>
  <c r="F1355" i="1"/>
  <c r="F1345" i="1" a="1"/>
  <c r="F1345" i="1"/>
  <c r="I1354" i="1" a="1"/>
  <c r="I1354" i="1"/>
  <c r="H1354" i="1" a="1"/>
  <c r="H1354" i="1"/>
  <c r="G1350" i="1" a="1"/>
  <c r="G1350" i="1"/>
  <c r="K1344" i="1" a="1"/>
  <c r="K1344" i="1" s="1"/>
  <c r="I1344" i="1" a="1"/>
  <c r="I1344" i="1" s="1"/>
  <c r="K1346" i="1" a="1"/>
  <c r="K1346" i="1" s="1"/>
  <c r="J1353" i="1" a="1"/>
  <c r="J1353" i="1"/>
  <c r="G1351" i="1" a="1"/>
  <c r="G1351" i="1"/>
  <c r="G1352" i="1" a="1"/>
  <c r="G1352" i="1" s="1"/>
  <c r="H1353" i="1" a="1"/>
  <c r="H1353" i="1" s="1"/>
  <c r="K1352" i="1" a="1"/>
  <c r="K1352" i="1" s="1"/>
  <c r="J1352" i="1" a="1"/>
  <c r="J1352" i="1"/>
  <c r="I1345" i="1" a="1"/>
  <c r="I1345" i="1" s="1"/>
  <c r="I1350" i="1" a="1"/>
  <c r="I1350" i="1"/>
  <c r="I1348" i="1" a="1"/>
  <c r="I1348" i="1"/>
  <c r="F1348" i="1" a="1"/>
  <c r="F1348" i="1" s="1"/>
  <c r="J1346" i="1" a="1"/>
  <c r="J1346" i="1" s="1"/>
  <c r="I1346" i="1" a="1"/>
  <c r="I1346" i="1" s="1"/>
  <c r="I1347" i="1" a="1"/>
  <c r="I1347" i="1" s="1"/>
  <c r="G1345" i="1" a="1"/>
  <c r="G1345" i="1"/>
  <c r="I1352" i="1" a="1"/>
  <c r="I1352" i="1"/>
  <c r="J1351" i="1" a="1"/>
  <c r="J1351" i="1"/>
  <c r="H1350" i="1" a="1"/>
  <c r="H1350" i="1"/>
  <c r="K1350" i="1" a="1"/>
  <c r="K1350" i="1"/>
  <c r="F1350" i="1" a="1"/>
  <c r="F1350" i="1" s="1"/>
  <c r="H1347" i="1" a="1"/>
  <c r="H1347" i="1" s="1"/>
  <c r="G1347" i="1" a="1"/>
  <c r="G1347" i="1"/>
  <c r="F1354" i="1" a="1"/>
  <c r="F1354" i="1"/>
  <c r="J1345" i="1" a="1"/>
  <c r="J1345" i="1"/>
  <c r="K1354" i="1" a="1"/>
  <c r="K1354" i="1" s="1"/>
  <c r="J1354" i="1" a="1"/>
  <c r="J1354" i="1" s="1"/>
  <c r="K1353" i="1" a="1"/>
  <c r="K1353" i="1" s="1"/>
  <c r="I1353" i="1" a="1"/>
  <c r="I1353" i="1"/>
  <c r="G1353" i="1" a="1"/>
  <c r="G1353" i="1" s="1"/>
  <c r="K1337" i="1" a="1"/>
  <c r="K1337" i="1"/>
  <c r="H1332" i="1" a="1"/>
  <c r="H1332" i="1" s="1"/>
  <c r="J1332" i="1" a="1"/>
  <c r="J1332" i="1" s="1"/>
  <c r="K1332" i="1" a="1"/>
  <c r="K1332" i="1" s="1"/>
  <c r="J1333" i="1" a="1"/>
  <c r="J1333" i="1" s="1"/>
  <c r="F1337" i="1" a="1"/>
  <c r="F1337" i="1" s="1"/>
  <c r="K1335" i="1" a="1"/>
  <c r="K1335" i="1"/>
  <c r="I1333" i="1" a="1"/>
  <c r="I1333" i="1"/>
  <c r="F1331" i="1" a="1"/>
  <c r="F1331" i="1"/>
  <c r="F1333" i="1" a="1"/>
  <c r="F1333" i="1"/>
  <c r="K1338" i="1" a="1"/>
  <c r="K1338" i="1"/>
  <c r="H1337" i="1" a="1"/>
  <c r="H1337" i="1" s="1"/>
  <c r="F1334" i="1" a="1"/>
  <c r="F1334" i="1"/>
  <c r="J1338" i="1" a="1"/>
  <c r="J1338" i="1"/>
  <c r="J1337" i="1" a="1"/>
  <c r="J1337" i="1"/>
  <c r="K1331" i="1" a="1"/>
  <c r="K1331" i="1"/>
  <c r="G1337" i="1" a="1"/>
  <c r="G1337" i="1" s="1"/>
  <c r="K1336" i="1" a="1"/>
  <c r="K1336" i="1" s="1"/>
  <c r="I1335" i="1" a="1"/>
  <c r="I1335" i="1" s="1"/>
  <c r="I1334" i="1" a="1"/>
  <c r="I1334" i="1"/>
  <c r="I1338" i="1" a="1"/>
  <c r="I1338" i="1" s="1"/>
  <c r="J1331" i="1" a="1"/>
  <c r="J1331" i="1" s="1"/>
  <c r="G1338" i="1" a="1"/>
  <c r="G1338" i="1" s="1"/>
  <c r="H1335" i="1" a="1"/>
  <c r="H1335" i="1" s="1"/>
  <c r="G1331" i="1" a="1"/>
  <c r="G1331" i="1" s="1"/>
  <c r="I1336" i="1" a="1"/>
  <c r="I1336" i="1" s="1"/>
  <c r="G1334" i="1" a="1"/>
  <c r="G1334" i="1" s="1"/>
  <c r="I1332" i="1" a="1"/>
  <c r="I1332" i="1"/>
  <c r="F1336" i="1" a="1"/>
  <c r="F1336" i="1"/>
  <c r="J1336" i="1" a="1"/>
  <c r="J1336" i="1"/>
  <c r="J1335" i="1" a="1"/>
  <c r="J1335" i="1"/>
  <c r="F1332" i="1" a="1"/>
  <c r="F1332" i="1" s="1"/>
  <c r="K1334" i="1" a="1"/>
  <c r="K1334" i="1"/>
  <c r="H1344" i="1" a="1"/>
  <c r="H1344" i="1"/>
  <c r="G1336" i="1" a="1"/>
  <c r="G1336" i="1"/>
  <c r="G1344" i="1" a="1"/>
  <c r="G1344" i="1"/>
  <c r="K1333" i="1" a="1"/>
  <c r="K1333" i="1"/>
  <c r="F1344" i="1" a="1"/>
  <c r="F1344" i="1" s="1"/>
  <c r="F1335" i="1" a="1"/>
  <c r="F1335" i="1" s="1"/>
  <c r="J1334" i="1" a="1"/>
  <c r="J1334" i="1" s="1"/>
  <c r="I1331" i="1" a="1"/>
  <c r="I1331" i="1"/>
  <c r="H1331" i="1" a="1"/>
  <c r="H1331" i="1" s="1"/>
  <c r="F1338" i="1" a="1"/>
  <c r="F1338" i="1"/>
  <c r="I1337" i="1" a="1"/>
  <c r="I1337" i="1" s="1"/>
  <c r="H1336" i="1" a="1"/>
  <c r="H1336" i="1" s="1"/>
  <c r="G1333" i="1" a="1"/>
  <c r="G1333" i="1" s="1"/>
  <c r="G1335" i="1" a="1"/>
  <c r="G1335" i="1" s="1"/>
  <c r="G1332" i="1" a="1"/>
  <c r="G1332" i="1" s="1"/>
  <c r="H1338" i="1" a="1"/>
  <c r="H1338" i="1"/>
  <c r="H1333" i="1" a="1"/>
  <c r="H1333" i="1"/>
  <c r="H1334" i="1" a="1"/>
  <c r="H1334" i="1"/>
  <c r="G1322" i="1" a="1"/>
  <c r="G1322" i="1" s="1"/>
  <c r="G1318" i="1" a="1"/>
  <c r="G1318" i="1" s="1"/>
  <c r="J1324" i="1" a="1"/>
  <c r="J1324" i="1"/>
  <c r="H1324" i="1" a="1"/>
  <c r="H1324" i="1"/>
  <c r="J1316" i="1" a="1"/>
  <c r="J1316" i="1"/>
  <c r="I1321" i="1" a="1"/>
  <c r="I1321" i="1"/>
  <c r="I1317" i="1" a="1"/>
  <c r="I1317" i="1"/>
  <c r="F1324" i="1" a="1"/>
  <c r="F1324" i="1" s="1"/>
  <c r="F1323" i="1" a="1"/>
  <c r="F1323" i="1" s="1"/>
  <c r="J1322" i="1" a="1"/>
  <c r="J1322" i="1" s="1"/>
  <c r="H1318" i="1" a="1"/>
  <c r="H1318" i="1" s="1"/>
  <c r="G1321" i="1" a="1"/>
  <c r="G1321" i="1"/>
  <c r="F1317" i="1" a="1"/>
  <c r="F1317" i="1"/>
  <c r="H1319" i="1" a="1"/>
  <c r="H1319" i="1" s="1"/>
  <c r="J1318" i="1" a="1"/>
  <c r="J1318" i="1" s="1"/>
  <c r="H1317" i="1" a="1"/>
  <c r="H1317" i="1" s="1"/>
  <c r="G1317" i="1" a="1"/>
  <c r="G1317" i="1" s="1"/>
  <c r="I1319" i="1" a="1"/>
  <c r="I1319" i="1" s="1"/>
  <c r="J1317" i="1" a="1"/>
  <c r="J1317" i="1"/>
  <c r="K1316" i="1" a="1"/>
  <c r="K1316" i="1"/>
  <c r="H1322" i="1" a="1"/>
  <c r="H1322" i="1" s="1"/>
  <c r="F1322" i="1" a="1"/>
  <c r="F1322" i="1"/>
  <c r="F1318" i="1" a="1"/>
  <c r="F1318" i="1" s="1"/>
  <c r="K1317" i="1" a="1"/>
  <c r="K1317" i="1"/>
  <c r="K1323" i="1" a="1"/>
  <c r="K1323" i="1"/>
  <c r="K1319" i="1" a="1"/>
  <c r="K1319" i="1"/>
  <c r="J1321" i="1" a="1"/>
  <c r="J1321" i="1"/>
  <c r="I1322" i="1" a="1"/>
  <c r="I1322" i="1"/>
  <c r="F1319" i="1" a="1"/>
  <c r="F1319" i="1" s="1"/>
  <c r="J1323" i="1" a="1"/>
  <c r="J1323" i="1" s="1"/>
  <c r="F1321" i="1" a="1"/>
  <c r="F1321" i="1" s="1"/>
  <c r="G1324" i="1" a="1"/>
  <c r="G1324" i="1"/>
  <c r="K1318" i="1" a="1"/>
  <c r="K1318" i="1"/>
  <c r="H1323" i="1" a="1"/>
  <c r="H1323" i="1"/>
  <c r="G1323" i="1" a="1"/>
  <c r="G1323" i="1" s="1"/>
  <c r="I1324" i="1" a="1"/>
  <c r="I1324" i="1" s="1"/>
  <c r="I1323" i="1" a="1"/>
  <c r="I1323" i="1" s="1"/>
  <c r="I1318" i="1" a="1"/>
  <c r="I1318" i="1" s="1"/>
  <c r="H1321" i="1" a="1"/>
  <c r="H1321" i="1" s="1"/>
  <c r="I1330" i="1" a="1"/>
  <c r="I1330" i="1"/>
  <c r="G1319" i="1" a="1"/>
  <c r="G1319" i="1" s="1"/>
  <c r="K1321" i="1" a="1"/>
  <c r="K1321" i="1" s="1"/>
  <c r="J1319" i="1" a="1"/>
  <c r="J1319" i="1"/>
  <c r="K1330" i="1" a="1"/>
  <c r="K1330" i="1" s="1"/>
  <c r="J1330" i="1" a="1"/>
  <c r="J1330" i="1"/>
  <c r="H1330" i="1" a="1"/>
  <c r="H1330" i="1"/>
  <c r="G1330" i="1" a="1"/>
  <c r="G1330" i="1"/>
  <c r="F1330" i="1" a="1"/>
  <c r="F1330" i="1"/>
  <c r="K1324" i="1" a="1"/>
  <c r="K1324" i="1"/>
  <c r="K1322" i="1" a="1"/>
  <c r="K1322" i="1" s="1"/>
  <c r="K1257" i="1" a="1"/>
  <c r="K1257" i="1" s="1"/>
  <c r="F1257" i="1" a="1"/>
  <c r="F1257" i="1"/>
  <c r="H1259" i="1" a="1"/>
  <c r="H1259" i="1"/>
  <c r="J1257" i="1" a="1"/>
  <c r="J1257" i="1"/>
  <c r="I1261" i="1" a="1"/>
  <c r="I1261" i="1"/>
  <c r="K1259" i="1" a="1"/>
  <c r="K1259" i="1" s="1"/>
  <c r="I1259" i="1" a="1"/>
  <c r="I1259" i="1" s="1"/>
  <c r="J1258" i="1" a="1"/>
  <c r="J1258" i="1" s="1"/>
  <c r="G1257" i="1" a="1"/>
  <c r="G1257" i="1" s="1"/>
  <c r="F1259" i="1" a="1"/>
  <c r="F1259" i="1" s="1"/>
  <c r="H1257" i="1" a="1"/>
  <c r="H1257" i="1" s="1"/>
  <c r="I1316" i="1" a="1"/>
  <c r="I1316" i="1" s="1"/>
  <c r="H1316" i="1" a="1"/>
  <c r="H1316" i="1" s="1"/>
  <c r="G1316" i="1" a="1"/>
  <c r="G1316" i="1"/>
  <c r="F1316" i="1" a="1"/>
  <c r="F1316" i="1" s="1"/>
  <c r="F1261" i="1" a="1"/>
  <c r="F1261" i="1"/>
  <c r="G1259" i="1" a="1"/>
  <c r="G1259" i="1"/>
  <c r="I1257" i="1" a="1"/>
  <c r="I1257" i="1"/>
  <c r="K1315" i="1" a="1"/>
  <c r="K1315" i="1"/>
  <c r="J1315" i="1" a="1"/>
  <c r="J1315" i="1"/>
  <c r="I1315" i="1" a="1"/>
  <c r="I1315" i="1" s="1"/>
  <c r="I1260" i="1" a="1"/>
  <c r="I1260" i="1"/>
  <c r="H1315" i="1" a="1"/>
  <c r="H1315" i="1"/>
  <c r="F1258" i="1" a="1"/>
  <c r="F1258" i="1"/>
  <c r="G1260" i="1" a="1"/>
  <c r="G1260" i="1"/>
  <c r="J1256" i="1" a="1"/>
  <c r="J1256" i="1"/>
  <c r="G1315" i="1" a="1"/>
  <c r="G1315" i="1" s="1"/>
  <c r="H1260" i="1" a="1"/>
  <c r="H1260" i="1" s="1"/>
  <c r="K1261" i="1" a="1"/>
  <c r="K1261" i="1" s="1"/>
  <c r="J1261" i="1" a="1"/>
  <c r="J1261" i="1" s="1"/>
  <c r="G1261" i="1" a="1"/>
  <c r="G1261" i="1" s="1"/>
  <c r="J1260" i="1" a="1"/>
  <c r="J1260" i="1" s="1"/>
  <c r="K1256" i="1" a="1"/>
  <c r="K1256" i="1" s="1"/>
  <c r="K1260" i="1" a="1"/>
  <c r="K1260" i="1" s="1"/>
  <c r="F1315" i="1" a="1"/>
  <c r="F1315" i="1"/>
  <c r="H1261" i="1" a="1"/>
  <c r="H1261" i="1" s="1"/>
  <c r="H1258" i="1" a="1"/>
  <c r="H1258" i="1"/>
  <c r="K1258" i="1" a="1"/>
  <c r="K1258" i="1"/>
  <c r="J1259" i="1" a="1"/>
  <c r="J1259" i="1"/>
  <c r="I1256" i="1" a="1"/>
  <c r="I1256" i="1"/>
  <c r="F1260" i="1" a="1"/>
  <c r="F1260" i="1" s="1"/>
  <c r="I1258" i="1" a="1"/>
  <c r="I1258" i="1" s="1"/>
  <c r="G1258" i="1" a="1"/>
  <c r="G1258" i="1"/>
  <c r="I1253" i="1" a="1"/>
  <c r="I1253" i="1"/>
  <c r="G1253" i="1" a="1"/>
  <c r="G1253" i="1"/>
  <c r="F1252" i="1" a="1"/>
  <c r="F1252" i="1"/>
  <c r="K1246" i="1" a="1"/>
  <c r="K1246" i="1"/>
  <c r="H1253" i="1" a="1"/>
  <c r="H1253" i="1" s="1"/>
  <c r="H1250" i="1" a="1"/>
  <c r="H1250" i="1" s="1"/>
  <c r="F1250" i="1" a="1"/>
  <c r="F1250" i="1" s="1"/>
  <c r="F1253" i="1" a="1"/>
  <c r="F1253" i="1" s="1"/>
  <c r="K1252" i="1" a="1"/>
  <c r="K1252" i="1"/>
  <c r="J1251" i="1" a="1"/>
  <c r="J1251" i="1" s="1"/>
  <c r="J1250" i="1" a="1"/>
  <c r="J1250" i="1" s="1"/>
  <c r="K1248" i="1" a="1"/>
  <c r="K1248" i="1" s="1"/>
  <c r="G1249" i="1" a="1"/>
  <c r="G1249" i="1"/>
  <c r="I1249" i="1" a="1"/>
  <c r="I1249" i="1" s="1"/>
  <c r="G1248" i="1" a="1"/>
  <c r="G1248" i="1"/>
  <c r="I1247" i="1" a="1"/>
  <c r="I1247" i="1"/>
  <c r="G1252" i="1" a="1"/>
  <c r="G1252" i="1"/>
  <c r="I1251" i="1" a="1"/>
  <c r="I1251" i="1" s="1"/>
  <c r="K1245" i="1" a="1"/>
  <c r="K1245" i="1" s="1"/>
  <c r="F1251" i="1" a="1"/>
  <c r="F1251" i="1" s="1"/>
  <c r="G1251" i="1" a="1"/>
  <c r="G1251" i="1"/>
  <c r="G1250" i="1" a="1"/>
  <c r="G1250" i="1"/>
  <c r="H1249" i="1" a="1"/>
  <c r="H1249" i="1"/>
  <c r="J1249" i="1" a="1"/>
  <c r="J1249" i="1"/>
  <c r="F1246" i="1" a="1"/>
  <c r="F1246" i="1"/>
  <c r="F1248" i="1" a="1"/>
  <c r="F1248" i="1" s="1"/>
  <c r="J1246" i="1" a="1"/>
  <c r="J1246" i="1" s="1"/>
  <c r="K1247" i="1" a="1"/>
  <c r="K1247" i="1" s="1"/>
  <c r="H1256" i="1" a="1"/>
  <c r="H1256" i="1"/>
  <c r="G1256" i="1" a="1"/>
  <c r="G1256" i="1"/>
  <c r="J1255" i="1" a="1"/>
  <c r="J1255" i="1" s="1"/>
  <c r="J1247" i="1" a="1"/>
  <c r="J1247" i="1" s="1"/>
  <c r="J1252" i="1" a="1"/>
  <c r="J1252" i="1" s="1"/>
  <c r="I1248" i="1" a="1"/>
  <c r="I1248" i="1"/>
  <c r="I1246" i="1" a="1"/>
  <c r="I1246" i="1" s="1"/>
  <c r="F1256" i="1" a="1"/>
  <c r="F1256" i="1"/>
  <c r="K1255" i="1" a="1"/>
  <c r="K1255" i="1"/>
  <c r="K1254" i="1" a="1"/>
  <c r="K1254" i="1" s="1"/>
  <c r="I1255" i="1" a="1"/>
  <c r="I1255" i="1" s="1"/>
  <c r="H1255" i="1" a="1"/>
  <c r="H1255" i="1" s="1"/>
  <c r="G1255" i="1" a="1"/>
  <c r="G1255" i="1" s="1"/>
  <c r="G1254" i="1" a="1"/>
  <c r="G1254" i="1"/>
  <c r="J1248" i="1" a="1"/>
  <c r="J1248" i="1"/>
  <c r="J1253" i="1" a="1"/>
  <c r="J1253" i="1"/>
  <c r="F1255" i="1" a="1"/>
  <c r="F1255" i="1"/>
  <c r="J1254" i="1" a="1"/>
  <c r="J1254" i="1"/>
  <c r="I1254" i="1" a="1"/>
  <c r="I1254" i="1" s="1"/>
  <c r="G1247" i="1" a="1"/>
  <c r="G1247" i="1" s="1"/>
  <c r="K1249" i="1" a="1"/>
  <c r="K1249" i="1"/>
  <c r="I1252" i="1" a="1"/>
  <c r="I1252" i="1"/>
  <c r="K1251" i="1" a="1"/>
  <c r="K1251" i="1"/>
  <c r="H1251" i="1" a="1"/>
  <c r="H1251" i="1" s="1"/>
  <c r="H1247" i="1" a="1"/>
  <c r="H1247" i="1" s="1"/>
  <c r="F1247" i="1" a="1"/>
  <c r="F1247" i="1" s="1"/>
  <c r="H1246" i="1" a="1"/>
  <c r="H1246" i="1"/>
  <c r="H1248" i="1" a="1"/>
  <c r="H1248" i="1" s="1"/>
  <c r="H1252" i="1" a="1"/>
  <c r="H1252" i="1"/>
  <c r="K1250" i="1" a="1"/>
  <c r="K1250" i="1" s="1"/>
  <c r="I1250" i="1" a="1"/>
  <c r="I1250" i="1" s="1"/>
  <c r="F1249" i="1" a="1"/>
  <c r="F1249" i="1" s="1"/>
  <c r="G1246" i="1" a="1"/>
  <c r="G1246" i="1" s="1"/>
  <c r="H1254" i="1" a="1"/>
  <c r="H1254" i="1" s="1"/>
  <c r="F1254" i="1" a="1"/>
  <c r="F1254" i="1"/>
  <c r="K1253" i="1" a="1"/>
  <c r="K1253" i="1"/>
  <c r="H1242" i="1" a="1"/>
  <c r="H1242" i="1"/>
  <c r="F1236" i="1" a="1"/>
  <c r="F1236" i="1"/>
  <c r="J1238" i="1" a="1"/>
  <c r="J1238" i="1"/>
  <c r="G1237" i="1" a="1"/>
  <c r="G1237" i="1" s="1"/>
  <c r="H1241" i="1" a="1"/>
  <c r="H1241" i="1"/>
  <c r="F1241" i="1" a="1"/>
  <c r="F1241" i="1"/>
  <c r="F1238" i="1" a="1"/>
  <c r="F1238" i="1"/>
  <c r="K1236" i="1" a="1"/>
  <c r="K1236" i="1"/>
  <c r="K1241" i="1" a="1"/>
  <c r="K1241" i="1" s="1"/>
  <c r="G1236" i="1" a="1"/>
  <c r="G1236" i="1" s="1"/>
  <c r="H1235" i="1" a="1"/>
  <c r="H1235" i="1" s="1"/>
  <c r="J1239" i="1" a="1"/>
  <c r="J1239" i="1"/>
  <c r="G1239" i="1" a="1"/>
  <c r="G1239" i="1" s="1"/>
  <c r="F1243" i="1" a="1"/>
  <c r="F1243" i="1" s="1"/>
  <c r="I1237" i="1" a="1"/>
  <c r="I1237" i="1" s="1"/>
  <c r="G1235" i="1" a="1"/>
  <c r="G1235" i="1" s="1"/>
  <c r="J1242" i="1" a="1"/>
  <c r="J1242" i="1" s="1"/>
  <c r="I1236" i="1" a="1"/>
  <c r="I1236" i="1" s="1"/>
  <c r="H1236" i="1" a="1"/>
  <c r="H1236" i="1" s="1"/>
  <c r="I1242" i="1" a="1"/>
  <c r="I1242" i="1"/>
  <c r="K1235" i="1" a="1"/>
  <c r="K1235" i="1"/>
  <c r="K1242" i="1" a="1"/>
  <c r="K1242" i="1"/>
  <c r="G1241" i="1" a="1"/>
  <c r="G1241" i="1"/>
  <c r="J1240" i="1" a="1"/>
  <c r="J1240" i="1" s="1"/>
  <c r="G1240" i="1" a="1"/>
  <c r="G1240" i="1"/>
  <c r="F1237" i="1" a="1"/>
  <c r="F1237" i="1"/>
  <c r="I1235" i="1" a="1"/>
  <c r="I1235" i="1"/>
  <c r="J1236" i="1" a="1"/>
  <c r="J1236" i="1"/>
  <c r="J1241" i="1" a="1"/>
  <c r="J1241" i="1"/>
  <c r="I1239" i="1" a="1"/>
  <c r="I1239" i="1" s="1"/>
  <c r="F1239" i="1" a="1"/>
  <c r="F1239" i="1" s="1"/>
  <c r="K1238" i="1" a="1"/>
  <c r="K1238" i="1" s="1"/>
  <c r="G1245" i="1" a="1"/>
  <c r="G1245" i="1"/>
  <c r="G1242" i="1" a="1"/>
  <c r="G1242" i="1" s="1"/>
  <c r="H1239" i="1" a="1"/>
  <c r="H1239" i="1"/>
  <c r="I1238" i="1" a="1"/>
  <c r="I1238" i="1" s="1"/>
  <c r="J1245" i="1" a="1"/>
  <c r="J1245" i="1" s="1"/>
  <c r="I1245" i="1" a="1"/>
  <c r="I1245" i="1" s="1"/>
  <c r="H1245" i="1" a="1"/>
  <c r="H1245" i="1" s="1"/>
  <c r="F1245" i="1" a="1"/>
  <c r="F1245" i="1" s="1"/>
  <c r="K1244" i="1" a="1"/>
  <c r="K1244" i="1"/>
  <c r="J1244" i="1" a="1"/>
  <c r="J1244" i="1"/>
  <c r="K1237" i="1" a="1"/>
  <c r="K1237" i="1"/>
  <c r="I1244" i="1" a="1"/>
  <c r="I1244" i="1" s="1"/>
  <c r="G1244" i="1" a="1"/>
  <c r="G1244" i="1" s="1"/>
  <c r="G1243" i="1" a="1"/>
  <c r="G1243" i="1"/>
  <c r="K1240" i="1" a="1"/>
  <c r="K1240" i="1"/>
  <c r="I1240" i="1" a="1"/>
  <c r="I1240" i="1"/>
  <c r="H1240" i="1" a="1"/>
  <c r="H1240" i="1"/>
  <c r="H1244" i="1" a="1"/>
  <c r="H1244" i="1"/>
  <c r="F1244" i="1" a="1"/>
  <c r="F1244" i="1" s="1"/>
  <c r="I1241" i="1" a="1"/>
  <c r="I1241" i="1" s="1"/>
  <c r="J1235" i="1" a="1"/>
  <c r="J1235" i="1" s="1"/>
  <c r="G1238" i="1" a="1"/>
  <c r="G1238" i="1" s="1"/>
  <c r="K1243" i="1" a="1"/>
  <c r="K1243" i="1"/>
  <c r="J1237" i="1" a="1"/>
  <c r="J1237" i="1"/>
  <c r="H1237" i="1" a="1"/>
  <c r="H1237" i="1" s="1"/>
  <c r="J1243" i="1" a="1"/>
  <c r="J1243" i="1" s="1"/>
  <c r="I1243" i="1" a="1"/>
  <c r="I1243" i="1" s="1"/>
  <c r="K1239" i="1" a="1"/>
  <c r="K1239" i="1" s="1"/>
  <c r="H1243" i="1" a="1"/>
  <c r="H1243" i="1" s="1"/>
  <c r="F1242" i="1" a="1"/>
  <c r="F1242" i="1"/>
  <c r="H1238" i="1" a="1"/>
  <c r="H1238" i="1"/>
  <c r="F1240" i="1" a="1"/>
  <c r="F1240" i="1" s="1"/>
  <c r="G1230" i="1" a="1"/>
  <c r="G1230" i="1"/>
  <c r="G1231" i="1" a="1"/>
  <c r="G1231" i="1" s="1"/>
  <c r="J1230" i="1" a="1"/>
  <c r="J1230" i="1"/>
  <c r="F1228" i="1" a="1"/>
  <c r="F1228" i="1"/>
  <c r="H1230" i="1" a="1"/>
  <c r="H1230" i="1"/>
  <c r="H1231" i="1" a="1"/>
  <c r="H1231" i="1"/>
  <c r="J1228" i="1" a="1"/>
  <c r="J1228" i="1"/>
  <c r="J1226" i="1" a="1"/>
  <c r="J1226" i="1" s="1"/>
  <c r="F1235" i="1" a="1"/>
  <c r="F1235" i="1" s="1"/>
  <c r="K1234" i="1" a="1"/>
  <c r="K1234" i="1" s="1"/>
  <c r="J1229" i="1" a="1"/>
  <c r="J1229" i="1"/>
  <c r="G1227" i="1" a="1"/>
  <c r="G1227" i="1"/>
  <c r="J1234" i="1" a="1"/>
  <c r="J1234" i="1"/>
  <c r="J1233" i="1" a="1"/>
  <c r="J1233" i="1" s="1"/>
  <c r="I1233" i="1" a="1"/>
  <c r="I1233" i="1" s="1"/>
  <c r="F1233" i="1" a="1"/>
  <c r="F1233" i="1" s="1"/>
  <c r="H1233" i="1" a="1"/>
  <c r="H1233" i="1" s="1"/>
  <c r="K1230" i="1" a="1"/>
  <c r="K1230" i="1" s="1"/>
  <c r="I1234" i="1" a="1"/>
  <c r="I1234" i="1"/>
  <c r="J1227" i="1" a="1"/>
  <c r="J1227" i="1" s="1"/>
  <c r="H1232" i="1" a="1"/>
  <c r="H1232" i="1" s="1"/>
  <c r="F1230" i="1" a="1"/>
  <c r="F1230" i="1"/>
  <c r="G1225" i="1" a="1"/>
  <c r="G1225" i="1" s="1"/>
  <c r="F1226" i="1" a="1"/>
  <c r="F1226" i="1"/>
  <c r="F1225" i="1" a="1"/>
  <c r="F1225" i="1"/>
  <c r="H1234" i="1" a="1"/>
  <c r="H1234" i="1"/>
  <c r="G1234" i="1" a="1"/>
  <c r="G1234" i="1"/>
  <c r="K1231" i="1" a="1"/>
  <c r="K1231" i="1"/>
  <c r="H1225" i="1" a="1"/>
  <c r="H1225" i="1" s="1"/>
  <c r="K1224" i="1" a="1"/>
  <c r="K1224" i="1" s="1"/>
  <c r="K1226" i="1" a="1"/>
  <c r="K1226" i="1"/>
  <c r="J1224" i="1" a="1"/>
  <c r="J1224" i="1"/>
  <c r="F1234" i="1" a="1"/>
  <c r="F1234" i="1"/>
  <c r="I1229" i="1" a="1"/>
  <c r="I1229" i="1"/>
  <c r="F1229" i="1" a="1"/>
  <c r="F1229" i="1" s="1"/>
  <c r="K1233" i="1" a="1"/>
  <c r="K1233" i="1" s="1"/>
  <c r="I1224" i="1" a="1"/>
  <c r="I1224" i="1" s="1"/>
  <c r="F1232" i="1" a="1"/>
  <c r="F1232" i="1" s="1"/>
  <c r="I1232" i="1" a="1"/>
  <c r="I1232" i="1" s="1"/>
  <c r="J1232" i="1" a="1"/>
  <c r="J1232" i="1" s="1"/>
  <c r="F1231" i="1" a="1"/>
  <c r="F1231" i="1" s="1"/>
  <c r="G1226" i="1" a="1"/>
  <c r="G1226" i="1" s="1"/>
  <c r="G1233" i="1" a="1"/>
  <c r="G1233" i="1"/>
  <c r="I1231" i="1" a="1"/>
  <c r="I1231" i="1" s="1"/>
  <c r="H1227" i="1" a="1"/>
  <c r="H1227" i="1"/>
  <c r="J1231" i="1" a="1"/>
  <c r="J1231" i="1"/>
  <c r="I1230" i="1" a="1"/>
  <c r="I1230" i="1"/>
  <c r="H1228" i="1" a="1"/>
  <c r="H1228" i="1"/>
  <c r="I1227" i="1" a="1"/>
  <c r="I1227" i="1"/>
  <c r="J1225" i="1" a="1"/>
  <c r="J1225" i="1" s="1"/>
  <c r="K1228" i="1" a="1"/>
  <c r="K1228" i="1"/>
  <c r="K1227" i="1" a="1"/>
  <c r="K1227" i="1"/>
  <c r="F1227" i="1" a="1"/>
  <c r="F1227" i="1"/>
  <c r="H1229" i="1" a="1"/>
  <c r="H1229" i="1"/>
  <c r="I1228" i="1" a="1"/>
  <c r="I1228" i="1"/>
  <c r="K1225" i="1" a="1"/>
  <c r="K1225" i="1" s="1"/>
  <c r="I1226" i="1" a="1"/>
  <c r="I1226" i="1" s="1"/>
  <c r="H1226" i="1" a="1"/>
  <c r="H1226" i="1" s="1"/>
  <c r="G1229" i="1" a="1"/>
  <c r="G1229" i="1" s="1"/>
  <c r="G1228" i="1" a="1"/>
  <c r="G1228" i="1" s="1"/>
  <c r="I1225" i="1" a="1"/>
  <c r="I1225" i="1" s="1"/>
  <c r="K1229" i="1" a="1"/>
  <c r="K1229" i="1" s="1"/>
  <c r="K1232" i="1" a="1"/>
  <c r="K1232" i="1" s="1"/>
  <c r="G1232" i="1" a="1"/>
  <c r="G1232" i="1"/>
  <c r="G1224" i="1" a="1"/>
  <c r="G1224" i="1" s="1"/>
  <c r="F1224" i="1" a="1"/>
  <c r="F1224" i="1"/>
  <c r="K1223" i="1" a="1"/>
  <c r="K1223" i="1"/>
  <c r="J1223" i="1" a="1"/>
  <c r="J1223" i="1"/>
  <c r="G1214" i="1" a="1"/>
  <c r="G1214" i="1"/>
  <c r="G1223" i="1" a="1"/>
  <c r="G1223" i="1" s="1"/>
  <c r="I1218" i="1" a="1"/>
  <c r="I1218" i="1" s="1"/>
  <c r="F1215" i="1" a="1"/>
  <c r="F1215" i="1"/>
  <c r="I1223" i="1" a="1"/>
  <c r="I1223" i="1"/>
  <c r="J1214" i="1" a="1"/>
  <c r="J1214" i="1"/>
  <c r="G1221" i="1" a="1"/>
  <c r="G1221" i="1"/>
  <c r="I1222" i="1" a="1"/>
  <c r="I1222" i="1"/>
  <c r="I1221" i="1" a="1"/>
  <c r="I1221" i="1" s="1"/>
  <c r="H1223" i="1" a="1"/>
  <c r="H1223" i="1" s="1"/>
  <c r="F1219" i="1" a="1"/>
  <c r="F1219" i="1" s="1"/>
  <c r="I1217" i="1" a="1"/>
  <c r="I1217" i="1" s="1"/>
  <c r="F1223" i="1" a="1"/>
  <c r="F1223" i="1"/>
  <c r="H1218" i="1" a="1"/>
  <c r="H1218" i="1" s="1"/>
  <c r="K1222" i="1" a="1"/>
  <c r="K1222" i="1" s="1"/>
  <c r="G1222" i="1" a="1"/>
  <c r="G1222" i="1" s="1"/>
  <c r="K1214" i="1" a="1"/>
  <c r="K1214" i="1"/>
  <c r="H1220" i="1" a="1"/>
  <c r="H1220" i="1" s="1"/>
  <c r="K1215" i="1" a="1"/>
  <c r="K1215" i="1"/>
  <c r="I1215" i="1" a="1"/>
  <c r="I1215" i="1"/>
  <c r="F1220" i="1" a="1"/>
  <c r="F1220" i="1"/>
  <c r="J1215" i="1" a="1"/>
  <c r="J1215" i="1" s="1"/>
  <c r="G1216" i="1" a="1"/>
  <c r="G1216" i="1" s="1"/>
  <c r="J1222" i="1" a="1"/>
  <c r="J1222" i="1" s="1"/>
  <c r="H1217" i="1" a="1"/>
  <c r="H1217" i="1"/>
  <c r="K1219" i="1" a="1"/>
  <c r="K1219" i="1"/>
  <c r="G1215" i="1" a="1"/>
  <c r="G1215" i="1"/>
  <c r="G1217" i="1" a="1"/>
  <c r="G1217" i="1"/>
  <c r="J1216" i="1" a="1"/>
  <c r="J1216" i="1"/>
  <c r="H1222" i="1" a="1"/>
  <c r="H1222" i="1" s="1"/>
  <c r="J1220" i="1" a="1"/>
  <c r="J1220" i="1" s="1"/>
  <c r="K1216" i="1" a="1"/>
  <c r="K1216" i="1" s="1"/>
  <c r="I1216" i="1" a="1"/>
  <c r="I1216" i="1"/>
  <c r="F1218" i="1" a="1"/>
  <c r="F1218" i="1"/>
  <c r="F1222" i="1" a="1"/>
  <c r="F1222" i="1" s="1"/>
  <c r="H1219" i="1" a="1"/>
  <c r="H1219" i="1" s="1"/>
  <c r="J1218" i="1" a="1"/>
  <c r="J1218" i="1" s="1"/>
  <c r="I1214" i="1" a="1"/>
  <c r="I1214" i="1"/>
  <c r="K1221" i="1" a="1"/>
  <c r="K1221" i="1" s="1"/>
  <c r="J1221" i="1" a="1"/>
  <c r="J1221" i="1"/>
  <c r="K1217" i="1" a="1"/>
  <c r="K1217" i="1"/>
  <c r="H1215" i="1" a="1"/>
  <c r="H1215" i="1" s="1"/>
  <c r="G1220" i="1" a="1"/>
  <c r="G1220" i="1" s="1"/>
  <c r="F1216" i="1" a="1"/>
  <c r="F1216" i="1" s="1"/>
  <c r="J1217" i="1" a="1"/>
  <c r="J1217" i="1" s="1"/>
  <c r="F1217" i="1" a="1"/>
  <c r="F1217" i="1"/>
  <c r="H1214" i="1" a="1"/>
  <c r="H1214" i="1"/>
  <c r="I1219" i="1" a="1"/>
  <c r="I1219" i="1"/>
  <c r="H1221" i="1" a="1"/>
  <c r="H1221" i="1"/>
  <c r="F1221" i="1" a="1"/>
  <c r="F1221" i="1"/>
  <c r="G1219" i="1" a="1"/>
  <c r="G1219" i="1" s="1"/>
  <c r="J1219" i="1" a="1"/>
  <c r="J1219" i="1" s="1"/>
  <c r="G1218" i="1" a="1"/>
  <c r="G1218" i="1"/>
  <c r="K1220" i="1" a="1"/>
  <c r="K1220" i="1"/>
  <c r="I1220" i="1" a="1"/>
  <c r="I1220" i="1"/>
  <c r="K1218" i="1" a="1"/>
  <c r="K1218" i="1" s="1"/>
  <c r="H1216" i="1" a="1"/>
  <c r="H1216" i="1" s="1"/>
  <c r="H1224" i="1" a="1"/>
  <c r="H1224" i="1" s="1"/>
  <c r="J1207" i="1" a="1"/>
  <c r="J1207" i="1"/>
  <c r="F1210" i="1" a="1"/>
  <c r="F1210" i="1" s="1"/>
  <c r="I1207" i="1" a="1"/>
  <c r="I1207" i="1"/>
  <c r="J1209" i="1" a="1"/>
  <c r="J1209" i="1" s="1"/>
  <c r="J1206" i="1" a="1"/>
  <c r="J1206" i="1" s="1"/>
  <c r="H1213" i="1" a="1"/>
  <c r="H1213" i="1" s="1"/>
  <c r="G1210" i="1" a="1"/>
  <c r="G1210" i="1" s="1"/>
  <c r="G1206" i="1" a="1"/>
  <c r="G1206" i="1" s="1"/>
  <c r="J1210" i="1" a="1"/>
  <c r="J1210" i="1"/>
  <c r="K1209" i="1" a="1"/>
  <c r="K1209" i="1"/>
  <c r="J1213" i="1" a="1"/>
  <c r="J1213" i="1"/>
  <c r="K1206" i="1" a="1"/>
  <c r="K1206" i="1"/>
  <c r="J1212" i="1" a="1"/>
  <c r="J1212" i="1"/>
  <c r="F1207" i="1" a="1"/>
  <c r="F1207" i="1" s="1"/>
  <c r="K1200" i="1" a="1"/>
  <c r="K1200" i="1"/>
  <c r="K1207" i="1" a="1"/>
  <c r="K1207" i="1"/>
  <c r="G1208" i="1" a="1"/>
  <c r="G1208" i="1"/>
  <c r="I1212" i="1" a="1"/>
  <c r="I1212" i="1"/>
  <c r="F1206" i="1" a="1"/>
  <c r="F1206" i="1" s="1"/>
  <c r="H1210" i="1" a="1"/>
  <c r="H1210" i="1" s="1"/>
  <c r="H1209" i="1" a="1"/>
  <c r="H1209" i="1" s="1"/>
  <c r="H1212" i="1" a="1"/>
  <c r="H1212" i="1"/>
  <c r="F1200" i="1" a="1"/>
  <c r="F1200" i="1" s="1"/>
  <c r="F1214" i="1" a="1"/>
  <c r="F1214" i="1" s="1"/>
  <c r="G1213" i="1" a="1"/>
  <c r="G1213" i="1" s="1"/>
  <c r="F1213" i="1" a="1"/>
  <c r="F1213" i="1" s="1"/>
  <c r="K1212" i="1" a="1"/>
  <c r="K1212" i="1" s="1"/>
  <c r="I1209" i="1" a="1"/>
  <c r="I1209" i="1" s="1"/>
  <c r="H1200" i="1" a="1"/>
  <c r="H1200" i="1" s="1"/>
  <c r="F1209" i="1" a="1"/>
  <c r="F1209" i="1"/>
  <c r="J1200" i="1" a="1"/>
  <c r="J1200" i="1"/>
  <c r="G1200" i="1" a="1"/>
  <c r="G1200" i="1"/>
  <c r="I1200" i="1" a="1"/>
  <c r="I1200" i="1"/>
  <c r="G1212" i="1" a="1"/>
  <c r="G1212" i="1" s="1"/>
  <c r="J1208" i="1" a="1"/>
  <c r="J1208" i="1" s="1"/>
  <c r="H1207" i="1" a="1"/>
  <c r="H1207" i="1"/>
  <c r="G1209" i="1" a="1"/>
  <c r="G1209" i="1"/>
  <c r="F1212" i="1" a="1"/>
  <c r="F1212" i="1"/>
  <c r="K1210" i="1" a="1"/>
  <c r="K1210" i="1"/>
  <c r="I1210" i="1" a="1"/>
  <c r="I1210" i="1" s="1"/>
  <c r="F1208" i="1" a="1"/>
  <c r="F1208" i="1" s="1"/>
  <c r="K1208" i="1" a="1"/>
  <c r="K1208" i="1" s="1"/>
  <c r="H1208" i="1" a="1"/>
  <c r="H1208" i="1"/>
  <c r="H1206" i="1" a="1"/>
  <c r="H1206" i="1" s="1"/>
  <c r="G1207" i="1" a="1"/>
  <c r="G1207" i="1"/>
  <c r="I1206" i="1" a="1"/>
  <c r="I1206" i="1" s="1"/>
  <c r="K1213" i="1" a="1"/>
  <c r="K1213" i="1" s="1"/>
  <c r="I1213" i="1" a="1"/>
  <c r="I1213" i="1" s="1"/>
  <c r="I1208" i="1" a="1"/>
  <c r="I1208" i="1" s="1"/>
  <c r="J1196" i="1" a="1"/>
  <c r="J1196" i="1" s="1"/>
  <c r="H1193" i="1" a="1"/>
  <c r="H1193" i="1"/>
  <c r="J1190" i="1" a="1"/>
  <c r="J1190" i="1"/>
  <c r="H1190" i="1" a="1"/>
  <c r="H1190" i="1"/>
  <c r="H1189" i="1" a="1"/>
  <c r="H1189" i="1" s="1"/>
  <c r="F1198" i="1" a="1"/>
  <c r="F1198" i="1" s="1"/>
  <c r="H1197" i="1" a="1"/>
  <c r="H1197" i="1" s="1"/>
  <c r="J1193" i="1" a="1"/>
  <c r="J1193" i="1"/>
  <c r="G1197" i="1" a="1"/>
  <c r="G1197" i="1"/>
  <c r="H1194" i="1" a="1"/>
  <c r="H1194" i="1"/>
  <c r="K1194" i="1" a="1"/>
  <c r="K1194" i="1"/>
  <c r="I1191" i="1" a="1"/>
  <c r="I1191" i="1" s="1"/>
  <c r="J1194" i="1" a="1"/>
  <c r="J1194" i="1" s="1"/>
  <c r="K1193" i="1" a="1"/>
  <c r="K1193" i="1" s="1"/>
  <c r="I1193" i="1" a="1"/>
  <c r="I1193" i="1" s="1"/>
  <c r="K1191" i="1" a="1"/>
  <c r="K1191" i="1"/>
  <c r="G1192" i="1" a="1"/>
  <c r="G1192" i="1"/>
  <c r="J1191" i="1" a="1"/>
  <c r="J1191" i="1" s="1"/>
  <c r="I1189" i="1" a="1"/>
  <c r="I1189" i="1" s="1"/>
  <c r="G1191" i="1" a="1"/>
  <c r="G1191" i="1" s="1"/>
  <c r="K1195" i="1" a="1"/>
  <c r="K1195" i="1" s="1"/>
  <c r="K1199" i="1" a="1"/>
  <c r="K1199" i="1" s="1"/>
  <c r="J1199" i="1" a="1"/>
  <c r="J1199" i="1"/>
  <c r="F1197" i="1" a="1"/>
  <c r="F1197" i="1"/>
  <c r="I1194" i="1" a="1"/>
  <c r="I1194" i="1" s="1"/>
  <c r="K1189" i="1" a="1"/>
  <c r="K1189" i="1"/>
  <c r="I1199" i="1" a="1"/>
  <c r="I1199" i="1" s="1"/>
  <c r="H1195" i="1" a="1"/>
  <c r="H1195" i="1" s="1"/>
  <c r="G1190" i="1" a="1"/>
  <c r="G1190" i="1"/>
  <c r="K1192" i="1" a="1"/>
  <c r="K1192" i="1"/>
  <c r="H1199" i="1" a="1"/>
  <c r="H1199" i="1"/>
  <c r="G1199" i="1" a="1"/>
  <c r="G1199" i="1"/>
  <c r="F1190" i="1" a="1"/>
  <c r="F1190" i="1" s="1"/>
  <c r="J1198" i="1" a="1"/>
  <c r="J1198" i="1" s="1"/>
  <c r="I1190" i="1" a="1"/>
  <c r="I1190" i="1" s="1"/>
  <c r="I1197" i="1" a="1"/>
  <c r="I1197" i="1"/>
  <c r="I1196" i="1" a="1"/>
  <c r="I1196" i="1"/>
  <c r="H1198" i="1" a="1"/>
  <c r="H1198" i="1"/>
  <c r="I1192" i="1" a="1"/>
  <c r="I1192" i="1" s="1"/>
  <c r="F1195" i="1" a="1"/>
  <c r="F1195" i="1" s="1"/>
  <c r="K1197" i="1" a="1"/>
  <c r="K1197" i="1" s="1"/>
  <c r="J1197" i="1" a="1"/>
  <c r="J1197" i="1" s="1"/>
  <c r="F1191" i="1" a="1"/>
  <c r="F1191" i="1" s="1"/>
  <c r="G1196" i="1" a="1"/>
  <c r="G1196" i="1"/>
  <c r="I1195" i="1" a="1"/>
  <c r="I1195" i="1" s="1"/>
  <c r="F1194" i="1" a="1"/>
  <c r="F1194" i="1" s="1"/>
  <c r="F1192" i="1" a="1"/>
  <c r="F1192" i="1"/>
  <c r="F1193" i="1" a="1"/>
  <c r="F1193" i="1" s="1"/>
  <c r="F1196" i="1" a="1"/>
  <c r="F1196" i="1" s="1"/>
  <c r="J1195" i="1" a="1"/>
  <c r="J1195" i="1"/>
  <c r="G1194" i="1" a="1"/>
  <c r="G1194" i="1"/>
  <c r="J1189" i="1" a="1"/>
  <c r="J1189" i="1"/>
  <c r="G1193" i="1" a="1"/>
  <c r="G1193" i="1"/>
  <c r="H1192" i="1" a="1"/>
  <c r="H1192" i="1" s="1"/>
  <c r="K1190" i="1" a="1"/>
  <c r="K1190" i="1" s="1"/>
  <c r="F1199" i="1" a="1"/>
  <c r="F1199" i="1"/>
  <c r="H1191" i="1" a="1"/>
  <c r="H1191" i="1"/>
  <c r="K1196" i="1" a="1"/>
  <c r="K1196" i="1"/>
  <c r="G1195" i="1" a="1"/>
  <c r="G1195" i="1"/>
  <c r="K1198" i="1" a="1"/>
  <c r="K1198" i="1" s="1"/>
  <c r="I1198" i="1" a="1"/>
  <c r="I1198" i="1" s="1"/>
  <c r="J1192" i="1" a="1"/>
  <c r="J1192" i="1" s="1"/>
  <c r="G1198" i="1" a="1"/>
  <c r="G1198" i="1" s="1"/>
  <c r="H1196" i="1" a="1"/>
  <c r="H1196" i="1" s="1"/>
  <c r="J1185" i="1" a="1"/>
  <c r="J1185" i="1" s="1"/>
  <c r="G1184" i="1" a="1"/>
  <c r="G1184" i="1" s="1"/>
  <c r="K1176" i="1" a="1"/>
  <c r="K1176" i="1" s="1"/>
  <c r="I1186" i="1" a="1"/>
  <c r="I1186" i="1"/>
  <c r="J1177" i="1" a="1"/>
  <c r="J1177" i="1" s="1"/>
  <c r="G1187" i="1" a="1"/>
  <c r="G1187" i="1" s="1"/>
  <c r="F1186" i="1" a="1"/>
  <c r="F1186" i="1"/>
  <c r="G1177" i="1" a="1"/>
  <c r="G1177" i="1"/>
  <c r="I1183" i="1" a="1"/>
  <c r="I1183" i="1"/>
  <c r="K1177" i="1" a="1"/>
  <c r="K1177" i="1"/>
  <c r="F1188" i="1" a="1"/>
  <c r="F1188" i="1" s="1"/>
  <c r="K1183" i="1" a="1"/>
  <c r="K1183" i="1"/>
  <c r="J1183" i="1" a="1"/>
  <c r="J1183" i="1"/>
  <c r="F1187" i="1" a="1"/>
  <c r="F1187" i="1"/>
  <c r="K1185" i="1" a="1"/>
  <c r="K1185" i="1"/>
  <c r="G1189" i="1" a="1"/>
  <c r="G1189" i="1"/>
  <c r="F1189" i="1" a="1"/>
  <c r="F1189" i="1" s="1"/>
  <c r="K1188" i="1" a="1"/>
  <c r="K1188" i="1" s="1"/>
  <c r="H1186" i="1" a="1"/>
  <c r="H1186" i="1" s="1"/>
  <c r="G1186" i="1" a="1"/>
  <c r="G1186" i="1" s="1"/>
  <c r="I1185" i="1" a="1"/>
  <c r="I1185" i="1" s="1"/>
  <c r="K1184" i="1" a="1"/>
  <c r="K1184" i="1" s="1"/>
  <c r="I1176" i="1" a="1"/>
  <c r="I1176" i="1" s="1"/>
  <c r="H1183" i="1" a="1"/>
  <c r="H1183" i="1" s="1"/>
  <c r="G1183" i="1" a="1"/>
  <c r="G1183" i="1"/>
  <c r="H1184" i="1" a="1"/>
  <c r="H1184" i="1" s="1"/>
  <c r="F1183" i="1" a="1"/>
  <c r="F1183" i="1" s="1"/>
  <c r="I1177" i="1" a="1"/>
  <c r="I1177" i="1"/>
  <c r="H1177" i="1" a="1"/>
  <c r="H1177" i="1"/>
  <c r="J1188" i="1" a="1"/>
  <c r="J1188" i="1"/>
  <c r="I1188" i="1" a="1"/>
  <c r="I1188" i="1" s="1"/>
  <c r="J1176" i="1" a="1"/>
  <c r="J1176" i="1" s="1"/>
  <c r="H1188" i="1" a="1"/>
  <c r="H1188" i="1"/>
  <c r="F1184" i="1" a="1"/>
  <c r="F1184" i="1"/>
  <c r="K1187" i="1" a="1"/>
  <c r="K1187" i="1"/>
  <c r="H1187" i="1" a="1"/>
  <c r="H1187" i="1"/>
  <c r="K1186" i="1" a="1"/>
  <c r="K1186" i="1"/>
  <c r="H1176" i="1" a="1"/>
  <c r="H1176" i="1" s="1"/>
  <c r="F1185" i="1" a="1"/>
  <c r="F1185" i="1" s="1"/>
  <c r="G1188" i="1" a="1"/>
  <c r="G1188" i="1" s="1"/>
  <c r="J1187" i="1" a="1"/>
  <c r="J1187" i="1" s="1"/>
  <c r="H1185" i="1" a="1"/>
  <c r="H1185" i="1"/>
  <c r="I1187" i="1" a="1"/>
  <c r="I1187" i="1" s="1"/>
  <c r="J1186" i="1" a="1"/>
  <c r="J1186" i="1" s="1"/>
  <c r="F1177" i="1" a="1"/>
  <c r="F1177" i="1" s="1"/>
  <c r="J1184" i="1" a="1"/>
  <c r="J1184" i="1"/>
  <c r="I1184" i="1" a="1"/>
  <c r="I1184" i="1" s="1"/>
  <c r="G1185" i="1" a="1"/>
  <c r="G1185" i="1" s="1"/>
  <c r="H1170" i="1" a="1"/>
  <c r="H1170" i="1"/>
  <c r="G1170" i="1" a="1"/>
  <c r="G1170" i="1"/>
  <c r="H1167" i="1" a="1"/>
  <c r="H1167" i="1" s="1"/>
  <c r="H1166" i="1" a="1"/>
  <c r="H1166" i="1" s="1"/>
  <c r="G1173" i="1" a="1"/>
  <c r="G1173" i="1"/>
  <c r="J1171" i="1" a="1"/>
  <c r="J1171" i="1"/>
  <c r="F1173" i="1" a="1"/>
  <c r="F1173" i="1"/>
  <c r="I1172" i="1" a="1"/>
  <c r="I1172" i="1"/>
  <c r="H1172" i="1" a="1"/>
  <c r="H1172" i="1"/>
  <c r="J1170" i="1" a="1"/>
  <c r="J1170" i="1"/>
  <c r="J1169" i="1" a="1"/>
  <c r="J1169" i="1" s="1"/>
  <c r="I1169" i="1" a="1"/>
  <c r="I1169" i="1" s="1"/>
  <c r="K1168" i="1" a="1"/>
  <c r="K1168" i="1" s="1"/>
  <c r="J1168" i="1" a="1"/>
  <c r="J1168" i="1"/>
  <c r="I1167" i="1" a="1"/>
  <c r="I1167" i="1"/>
  <c r="K1165" i="1" a="1"/>
  <c r="K1165" i="1" s="1"/>
  <c r="J1167" i="1" a="1"/>
  <c r="J1167" i="1" s="1"/>
  <c r="K1166" i="1" a="1"/>
  <c r="K1166" i="1" s="1"/>
  <c r="F1167" i="1" a="1"/>
  <c r="F1167" i="1"/>
  <c r="H1168" i="1" a="1"/>
  <c r="H1168" i="1" s="1"/>
  <c r="G1168" i="1" a="1"/>
  <c r="G1168" i="1" s="1"/>
  <c r="J1165" i="1" a="1"/>
  <c r="J1165" i="1" s="1"/>
  <c r="I1171" i="1" a="1"/>
  <c r="I1171" i="1" s="1"/>
  <c r="G1176" i="1" a="1"/>
  <c r="G1176" i="1" s="1"/>
  <c r="F1168" i="1" a="1"/>
  <c r="F1168" i="1" s="1"/>
  <c r="F1176" i="1" a="1"/>
  <c r="F1176" i="1" s="1"/>
  <c r="F1170" i="1" a="1"/>
  <c r="F1170" i="1"/>
  <c r="G1169" i="1" a="1"/>
  <c r="G1169" i="1"/>
  <c r="I1174" i="1" a="1"/>
  <c r="I1174" i="1"/>
  <c r="K1175" i="1" a="1"/>
  <c r="K1175" i="1"/>
  <c r="F1174" i="1" a="1"/>
  <c r="F1174" i="1"/>
  <c r="I1170" i="1" a="1"/>
  <c r="I1170" i="1"/>
  <c r="J1166" i="1" a="1"/>
  <c r="J1166" i="1" s="1"/>
  <c r="J1175" i="1" a="1"/>
  <c r="J1175" i="1" s="1"/>
  <c r="G1175" i="1" a="1"/>
  <c r="G1175" i="1"/>
  <c r="G1167" i="1" a="1"/>
  <c r="G1167" i="1"/>
  <c r="G1166" i="1" a="1"/>
  <c r="G1166" i="1" s="1"/>
  <c r="I1175" i="1" a="1"/>
  <c r="I1175" i="1" s="1"/>
  <c r="H1175" i="1" a="1"/>
  <c r="H1175" i="1" s="1"/>
  <c r="F1175" i="1" a="1"/>
  <c r="F1175" i="1"/>
  <c r="K1174" i="1" a="1"/>
  <c r="K1174" i="1" s="1"/>
  <c r="F1172" i="1" a="1"/>
  <c r="F1172" i="1" s="1"/>
  <c r="K1167" i="1" a="1"/>
  <c r="K1167" i="1" s="1"/>
  <c r="G1174" i="1" a="1"/>
  <c r="G1174" i="1" s="1"/>
  <c r="K1173" i="1" a="1"/>
  <c r="K1173" i="1" s="1"/>
  <c r="J1173" i="1" a="1"/>
  <c r="J1173" i="1" s="1"/>
  <c r="J1172" i="1" a="1"/>
  <c r="J1172" i="1" s="1"/>
  <c r="K1169" i="1" a="1"/>
  <c r="K1169" i="1"/>
  <c r="H1173" i="1" a="1"/>
  <c r="H1173" i="1"/>
  <c r="I1173" i="1" a="1"/>
  <c r="I1173" i="1"/>
  <c r="K1172" i="1" a="1"/>
  <c r="K1172" i="1"/>
  <c r="H1171" i="1" a="1"/>
  <c r="H1171" i="1"/>
  <c r="G1172" i="1" a="1"/>
  <c r="G1172" i="1" s="1"/>
  <c r="G1171" i="1" a="1"/>
  <c r="G1171" i="1" s="1"/>
  <c r="F1171" i="1" a="1"/>
  <c r="F1171" i="1" s="1"/>
  <c r="H1169" i="1" a="1"/>
  <c r="H1169" i="1"/>
  <c r="I1168" i="1" a="1"/>
  <c r="I1168" i="1"/>
  <c r="I1166" i="1" a="1"/>
  <c r="I1166" i="1" s="1"/>
  <c r="K1171" i="1" a="1"/>
  <c r="K1171" i="1" s="1"/>
  <c r="K1170" i="1" a="1"/>
  <c r="K1170" i="1" s="1"/>
  <c r="F1169" i="1" a="1"/>
  <c r="F1169" i="1"/>
  <c r="J1174" i="1" a="1"/>
  <c r="J1174" i="1" s="1"/>
  <c r="H1174" i="1" a="1"/>
  <c r="H1174" i="1" s="1"/>
  <c r="F1166" i="1" a="1"/>
  <c r="F1166" i="1"/>
  <c r="G1154" i="1" a="1"/>
  <c r="G1154" i="1"/>
  <c r="J1160" i="1" a="1"/>
  <c r="J1160" i="1" s="1"/>
  <c r="J1152" i="1" a="1"/>
  <c r="J1152" i="1" s="1"/>
  <c r="H1165" i="1" a="1"/>
  <c r="H1165" i="1" s="1"/>
  <c r="G1165" i="1" a="1"/>
  <c r="G1165" i="1"/>
  <c r="G1163" i="1" a="1"/>
  <c r="G1163" i="1"/>
  <c r="F1160" i="1" a="1"/>
  <c r="F1160" i="1"/>
  <c r="H1152" i="1" a="1"/>
  <c r="H1152" i="1"/>
  <c r="F1165" i="1" a="1"/>
  <c r="F1165" i="1" s="1"/>
  <c r="J1164" i="1" a="1"/>
  <c r="J1164" i="1"/>
  <c r="I1164" i="1" a="1"/>
  <c r="I1164" i="1" s="1"/>
  <c r="K1154" i="1" a="1"/>
  <c r="K1154" i="1" s="1"/>
  <c r="G1164" i="1" a="1"/>
  <c r="G1164" i="1"/>
  <c r="J1163" i="1" a="1"/>
  <c r="J1163" i="1"/>
  <c r="G1162" i="1" a="1"/>
  <c r="G1162" i="1" s="1"/>
  <c r="J1154" i="1" a="1"/>
  <c r="J1154" i="1"/>
  <c r="J1161" i="1" a="1"/>
  <c r="J1161" i="1" s="1"/>
  <c r="I1160" i="1" a="1"/>
  <c r="I1160" i="1"/>
  <c r="F1153" i="1" a="1"/>
  <c r="F1153" i="1" s="1"/>
  <c r="I1154" i="1" a="1"/>
  <c r="I1154" i="1"/>
  <c r="F1154" i="1" a="1"/>
  <c r="F1154" i="1" s="1"/>
  <c r="G1161" i="1" a="1"/>
  <c r="G1161" i="1"/>
  <c r="J1153" i="1" a="1"/>
  <c r="J1153" i="1" s="1"/>
  <c r="H1153" i="1" a="1"/>
  <c r="H1153" i="1" s="1"/>
  <c r="I1165" i="1" a="1"/>
  <c r="I1165" i="1"/>
  <c r="K1163" i="1" a="1"/>
  <c r="K1163" i="1"/>
  <c r="I1163" i="1" a="1"/>
  <c r="I1163" i="1" s="1"/>
  <c r="H1163" i="1" a="1"/>
  <c r="H1163" i="1"/>
  <c r="I1152" i="1" a="1"/>
  <c r="I1152" i="1" s="1"/>
  <c r="F1163" i="1" a="1"/>
  <c r="F1163" i="1" s="1"/>
  <c r="K1162" i="1" a="1"/>
  <c r="K1162" i="1" s="1"/>
  <c r="F1161" i="1" a="1"/>
  <c r="F1161" i="1"/>
  <c r="G1160" i="1" a="1"/>
  <c r="G1160" i="1" s="1"/>
  <c r="H1160" i="1" a="1"/>
  <c r="H1160" i="1"/>
  <c r="K1153" i="1" a="1"/>
  <c r="K1153" i="1"/>
  <c r="K1164" i="1" a="1"/>
  <c r="K1164" i="1" s="1"/>
  <c r="H1164" i="1" a="1"/>
  <c r="H1164" i="1" s="1"/>
  <c r="J1162" i="1" a="1"/>
  <c r="J1162" i="1" s="1"/>
  <c r="K1152" i="1" a="1"/>
  <c r="K1152" i="1" s="1"/>
  <c r="K1160" i="1" a="1"/>
  <c r="K1160" i="1" s="1"/>
  <c r="I1153" i="1" a="1"/>
  <c r="I1153" i="1"/>
  <c r="F1162" i="1" a="1"/>
  <c r="F1162" i="1" s="1"/>
  <c r="H1154" i="1" a="1"/>
  <c r="H1154" i="1"/>
  <c r="I1162" i="1" a="1"/>
  <c r="I1162" i="1" s="1"/>
  <c r="H1161" i="1" a="1"/>
  <c r="H1161" i="1" s="1"/>
  <c r="F1164" i="1" a="1"/>
  <c r="F1164" i="1" s="1"/>
  <c r="G1153" i="1" a="1"/>
  <c r="G1153" i="1"/>
  <c r="H1162" i="1" a="1"/>
  <c r="H1162" i="1" s="1"/>
  <c r="K1161" i="1" a="1"/>
  <c r="K1161" i="1" s="1"/>
  <c r="I1161" i="1" a="1"/>
  <c r="I1161" i="1"/>
  <c r="I1146" i="1" a="1"/>
  <c r="I1146" i="1" s="1"/>
  <c r="K1145" i="1" a="1"/>
  <c r="K1145" i="1" s="1"/>
  <c r="G1145" i="1" a="1"/>
  <c r="G1145" i="1" s="1"/>
  <c r="K1143" i="1" a="1"/>
  <c r="K1143" i="1" s="1"/>
  <c r="G1140" i="1" a="1"/>
  <c r="G1140" i="1"/>
  <c r="H1142" i="1" a="1"/>
  <c r="H1142" i="1"/>
  <c r="F1147" i="1" a="1"/>
  <c r="F1147" i="1" s="1"/>
  <c r="H1143" i="1" a="1"/>
  <c r="H1143" i="1" s="1"/>
  <c r="J1144" i="1" a="1"/>
  <c r="J1144" i="1" s="1"/>
  <c r="K1142" i="1" a="1"/>
  <c r="K1142" i="1"/>
  <c r="F1152" i="1" a="1"/>
  <c r="F1152" i="1"/>
  <c r="G1143" i="1" a="1"/>
  <c r="G1143" i="1"/>
  <c r="G1144" i="1" a="1"/>
  <c r="G1144" i="1"/>
  <c r="H1140" i="1" a="1"/>
  <c r="H1140" i="1" s="1"/>
  <c r="K1146" i="1" a="1"/>
  <c r="K1146" i="1"/>
  <c r="I1143" i="1" a="1"/>
  <c r="I1143" i="1"/>
  <c r="K1144" i="1" a="1"/>
  <c r="K1144" i="1"/>
  <c r="J1143" i="1" a="1"/>
  <c r="J1143" i="1" s="1"/>
  <c r="I1148" i="1" a="1"/>
  <c r="I1148" i="1" s="1"/>
  <c r="G1152" i="1" a="1"/>
  <c r="G1152" i="1" s="1"/>
  <c r="J1146" i="1" a="1"/>
  <c r="J1146" i="1"/>
  <c r="K1151" i="1" a="1"/>
  <c r="K1151" i="1" s="1"/>
  <c r="H1151" i="1" a="1"/>
  <c r="H1151" i="1" s="1"/>
  <c r="H1141" i="1" a="1"/>
  <c r="H1141" i="1" s="1"/>
  <c r="K1148" i="1" a="1"/>
  <c r="K1148" i="1" s="1"/>
  <c r="H1146" i="1" a="1"/>
  <c r="H1146" i="1" s="1"/>
  <c r="J1145" i="1" a="1"/>
  <c r="J1145" i="1"/>
  <c r="J1151" i="1" a="1"/>
  <c r="J1151" i="1" s="1"/>
  <c r="G1151" i="1" a="1"/>
  <c r="G1151" i="1" s="1"/>
  <c r="F1142" i="1" a="1"/>
  <c r="F1142" i="1" s="1"/>
  <c r="J1148" i="1" a="1"/>
  <c r="J1148" i="1"/>
  <c r="G1148" i="1" a="1"/>
  <c r="G1148" i="1" s="1"/>
  <c r="F1148" i="1" a="1"/>
  <c r="F1148" i="1" s="1"/>
  <c r="F1146" i="1" a="1"/>
  <c r="F1146" i="1" s="1"/>
  <c r="H1145" i="1" a="1"/>
  <c r="H1145" i="1" s="1"/>
  <c r="I1144" i="1" a="1"/>
  <c r="I1144" i="1" s="1"/>
  <c r="H1144" i="1" a="1"/>
  <c r="H1144" i="1" s="1"/>
  <c r="J1140" i="1" a="1"/>
  <c r="J1140" i="1" s="1"/>
  <c r="I1142" i="1" a="1"/>
  <c r="I1142" i="1" s="1"/>
  <c r="J1142" i="1" a="1"/>
  <c r="J1142" i="1" s="1"/>
  <c r="I1141" i="1" a="1"/>
  <c r="I1141" i="1"/>
  <c r="K1141" i="1" a="1"/>
  <c r="K1141" i="1" s="1"/>
  <c r="K1140" i="1" a="1"/>
  <c r="K1140" i="1" s="1"/>
  <c r="K1147" i="1" a="1"/>
  <c r="K1147" i="1" s="1"/>
  <c r="F1145" i="1" a="1"/>
  <c r="F1145" i="1" s="1"/>
  <c r="F1141" i="1" a="1"/>
  <c r="F1141" i="1" s="1"/>
  <c r="G1142" i="1" a="1"/>
  <c r="G1142" i="1" s="1"/>
  <c r="G1141" i="1" a="1"/>
  <c r="G1141" i="1" s="1"/>
  <c r="I1140" i="1" a="1"/>
  <c r="I1140" i="1" s="1"/>
  <c r="I1147" i="1" a="1"/>
  <c r="I1147" i="1" s="1"/>
  <c r="H1147" i="1" a="1"/>
  <c r="H1147" i="1"/>
  <c r="G1147" i="1" a="1"/>
  <c r="G1147" i="1" s="1"/>
  <c r="F1151" i="1" a="1"/>
  <c r="F1151" i="1" s="1"/>
  <c r="F1143" i="1" a="1"/>
  <c r="F1143" i="1" s="1"/>
  <c r="F1144" i="1" a="1"/>
  <c r="F1144" i="1" s="1"/>
  <c r="G1146" i="1" a="1"/>
  <c r="G1146" i="1" s="1"/>
  <c r="I1145" i="1" a="1"/>
  <c r="I1145" i="1" s="1"/>
  <c r="J1141" i="1" a="1"/>
  <c r="J1141" i="1" s="1"/>
  <c r="I1151" i="1" a="1"/>
  <c r="I1151" i="1" s="1"/>
  <c r="H1148" i="1" a="1"/>
  <c r="H1148" i="1" s="1"/>
  <c r="J1147" i="1" a="1"/>
  <c r="J1147" i="1"/>
  <c r="K1139" i="1" a="1"/>
  <c r="K1139" i="1" s="1"/>
  <c r="H1139" i="1" a="1"/>
  <c r="H1139" i="1" s="1"/>
  <c r="J1138" i="1" a="1"/>
  <c r="J1138" i="1" s="1"/>
  <c r="G1139" i="1" a="1"/>
  <c r="G1139" i="1" s="1"/>
  <c r="K1136" i="1" a="1"/>
  <c r="K1136" i="1" s="1"/>
  <c r="F1139" i="1" a="1"/>
  <c r="F1139" i="1" s="1"/>
  <c r="G1138" i="1" a="1"/>
  <c r="G1138" i="1" s="1"/>
  <c r="I1137" i="1" a="1"/>
  <c r="I1137" i="1" s="1"/>
  <c r="H1137" i="1" a="1"/>
  <c r="H1137" i="1" s="1"/>
  <c r="G1137" i="1" a="1"/>
  <c r="G1137" i="1"/>
  <c r="J1136" i="1" a="1"/>
  <c r="J1136" i="1" s="1"/>
  <c r="H1136" i="1" a="1"/>
  <c r="H1136" i="1" s="1"/>
  <c r="K1138" i="1" a="1"/>
  <c r="K1138" i="1" s="1"/>
  <c r="G1136" i="1" a="1"/>
  <c r="G1136" i="1" s="1"/>
  <c r="I1138" i="1" a="1"/>
  <c r="I1138" i="1" s="1"/>
  <c r="F1136" i="1" a="1"/>
  <c r="F1136" i="1" s="1"/>
  <c r="H1138" i="1" a="1"/>
  <c r="H1138" i="1" s="1"/>
  <c r="F1138" i="1" a="1"/>
  <c r="F1138" i="1" s="1"/>
  <c r="K1137" i="1" a="1"/>
  <c r="K1137" i="1" s="1"/>
  <c r="J1137" i="1" a="1"/>
  <c r="J1137" i="1"/>
  <c r="F1137" i="1" a="1"/>
  <c r="F1137" i="1" s="1"/>
  <c r="I1136" i="1" a="1"/>
  <c r="I1136" i="1" s="1"/>
  <c r="F1140" i="1" a="1"/>
  <c r="F1140" i="1" s="1"/>
  <c r="J1139" i="1" a="1"/>
  <c r="J1139" i="1" s="1"/>
  <c r="I1139" i="1" a="1"/>
  <c r="I1139" i="1" s="1"/>
  <c r="I1105" i="1"/>
  <c r="H1105" i="1"/>
  <c r="G1105" i="1"/>
  <c r="H1104" i="1"/>
  <c r="J1102" i="1"/>
  <c r="H1102" i="1"/>
  <c r="G1102" i="1"/>
  <c r="F1102" i="1"/>
  <c r="G1100" i="1"/>
  <c r="J1098" i="1"/>
  <c r="I1098" i="1"/>
  <c r="F1098" i="1"/>
  <c r="J1092" i="1"/>
  <c r="I1092" i="1"/>
  <c r="H1092" i="1"/>
  <c r="F1092" i="1"/>
  <c r="J1088" i="1"/>
  <c r="J1087" i="1"/>
  <c r="K1085" i="1"/>
  <c r="J1085" i="1"/>
  <c r="I1085" i="1"/>
  <c r="I1083" i="1"/>
  <c r="H1083" i="1"/>
  <c r="F1083" i="1"/>
  <c r="H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H1079" i="1"/>
  <c r="G1079" i="1"/>
  <c r="F1079" i="1"/>
  <c r="F1105" i="1" s="1"/>
  <c r="K1078" i="1"/>
  <c r="K1104" i="1" s="1"/>
  <c r="J1078" i="1"/>
  <c r="J1104" i="1" s="1"/>
  <c r="I1078" i="1"/>
  <c r="I1104" i="1" s="1"/>
  <c r="H1078" i="1"/>
  <c r="G1078" i="1"/>
  <c r="G1104" i="1" s="1"/>
  <c r="F1078" i="1"/>
  <c r="F1104" i="1" s="1"/>
  <c r="K1076" i="1"/>
  <c r="K1102" i="1" s="1"/>
  <c r="J1076" i="1"/>
  <c r="I1076" i="1"/>
  <c r="I1102" i="1" s="1"/>
  <c r="H1076" i="1"/>
  <c r="G1076" i="1"/>
  <c r="F1076" i="1"/>
  <c r="K1074" i="1"/>
  <c r="K1100" i="1" s="1"/>
  <c r="J1074" i="1"/>
  <c r="J1100" i="1" s="1"/>
  <c r="I1074" i="1"/>
  <c r="I1100" i="1" s="1"/>
  <c r="H1074" i="1"/>
  <c r="H1100" i="1" s="1"/>
  <c r="G1074" i="1"/>
  <c r="F1074" i="1"/>
  <c r="F1100" i="1" s="1"/>
  <c r="K1072" i="1"/>
  <c r="K1098" i="1" s="1"/>
  <c r="J1072" i="1"/>
  <c r="I1072" i="1"/>
  <c r="H1072" i="1"/>
  <c r="H1098" i="1" s="1"/>
  <c r="G1072" i="1"/>
  <c r="G1098" i="1" s="1"/>
  <c r="F1072" i="1"/>
  <c r="K1066" i="1"/>
  <c r="K1092" i="1" s="1"/>
  <c r="J1066" i="1"/>
  <c r="I1066" i="1"/>
  <c r="H1066" i="1"/>
  <c r="G1066" i="1"/>
  <c r="G1092" i="1" s="1"/>
  <c r="F1066" i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I1061" i="1"/>
  <c r="I1087" i="1" s="1"/>
  <c r="H1061" i="1"/>
  <c r="H1087" i="1" s="1"/>
  <c r="G1061" i="1"/>
  <c r="G1087" i="1" s="1"/>
  <c r="F1061" i="1"/>
  <c r="F1087" i="1" s="1"/>
  <c r="K1059" i="1"/>
  <c r="J1059" i="1"/>
  <c r="I1059" i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H1057" i="1"/>
  <c r="G1057" i="1"/>
  <c r="G1083" i="1" s="1"/>
  <c r="F1057" i="1"/>
  <c r="K1056" i="1"/>
  <c r="K1082" i="1" s="1"/>
  <c r="J1056" i="1"/>
  <c r="J1082" i="1" s="1"/>
  <c r="I1056" i="1"/>
  <c r="I1082" i="1" s="1"/>
  <c r="H1056" i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I899" i="1" s="1"/>
  <c r="H902" i="1"/>
  <c r="G902" i="1"/>
  <c r="F902" i="1"/>
  <c r="F899" i="1" s="1"/>
  <c r="H899" i="1"/>
  <c r="G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K897" i="1" s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F1891" i="1" a="1"/>
  <c r="F1891" i="1" s="1"/>
  <c r="J1889" i="1" a="1"/>
  <c r="J1889" i="1"/>
  <c r="J1895" i="1" a="1"/>
  <c r="J1895" i="1"/>
  <c r="I1893" i="1" a="1"/>
  <c r="I1893" i="1"/>
  <c r="G1893" i="1" a="1"/>
  <c r="G1893" i="1"/>
  <c r="I1891" i="1" a="1"/>
  <c r="I1891" i="1"/>
  <c r="J1893" i="1" a="1"/>
  <c r="J1893" i="1" s="1"/>
  <c r="K1897" i="1" a="1"/>
  <c r="K1897" i="1" s="1"/>
  <c r="F1893" i="1" a="1"/>
  <c r="F1893" i="1" s="1"/>
  <c r="J1897" i="1" a="1"/>
  <c r="J1897" i="1" s="1"/>
  <c r="K1889" i="1" a="1"/>
  <c r="K1889" i="1" s="1"/>
  <c r="I1895" i="1" a="1"/>
  <c r="I1895" i="1" s="1"/>
  <c r="H1897" i="1" a="1"/>
  <c r="H1897" i="1" s="1"/>
  <c r="G1891" i="1" a="1"/>
  <c r="G1891" i="1" s="1"/>
  <c r="F1897" i="1" a="1"/>
  <c r="F1897" i="1" s="1"/>
  <c r="H1891" i="1" a="1"/>
  <c r="H1891" i="1" s="1"/>
  <c r="H1895" i="1" a="1"/>
  <c r="H1895" i="1" s="1"/>
  <c r="K1895" i="1" a="1"/>
  <c r="K1895" i="1" s="1"/>
  <c r="K1893" i="1" a="1"/>
  <c r="K1893" i="1" s="1"/>
  <c r="G1897" i="1" a="1"/>
  <c r="G1897" i="1"/>
  <c r="G1895" i="1" a="1"/>
  <c r="G1895" i="1"/>
  <c r="F1895" i="1" a="1"/>
  <c r="F1895" i="1"/>
  <c r="J1891" i="1" a="1"/>
  <c r="J1891" i="1"/>
  <c r="I1897" i="1" a="1"/>
  <c r="I1897" i="1"/>
  <c r="K1891" i="1" a="1"/>
  <c r="K1891" i="1"/>
  <c r="H1893" i="1" a="1"/>
  <c r="H1893" i="1"/>
  <c r="G1889" i="1" a="1"/>
  <c r="G1889" i="1"/>
  <c r="J1875" i="1" a="1"/>
  <c r="J1875" i="1" s="1"/>
  <c r="K1888" i="1" a="1"/>
  <c r="K1888" i="1" s="1"/>
  <c r="J1888" i="1" a="1"/>
  <c r="J1888" i="1" s="1"/>
  <c r="K1885" i="1" a="1"/>
  <c r="K1885" i="1" s="1"/>
  <c r="G1888" i="1" a="1"/>
  <c r="G1888" i="1" s="1"/>
  <c r="J1887" i="1" a="1"/>
  <c r="J1887" i="1" s="1"/>
  <c r="F1877" i="1" a="1"/>
  <c r="F1877" i="1" s="1"/>
  <c r="G1887" i="1" a="1"/>
  <c r="G1887" i="1" s="1"/>
  <c r="G1879" i="1" a="1"/>
  <c r="G1879" i="1" s="1"/>
  <c r="I1888" i="1" a="1"/>
  <c r="I1888" i="1" s="1"/>
  <c r="H1888" i="1" a="1"/>
  <c r="H1888" i="1" s="1"/>
  <c r="F1888" i="1" a="1"/>
  <c r="F1888" i="1" s="1"/>
  <c r="H1887" i="1" a="1"/>
  <c r="H1887" i="1"/>
  <c r="I1887" i="1" a="1"/>
  <c r="I1887" i="1"/>
  <c r="H1877" i="1" a="1"/>
  <c r="H1877" i="1"/>
  <c r="F1887" i="1" a="1"/>
  <c r="F1887" i="1"/>
  <c r="J1883" i="1" a="1"/>
  <c r="J1883" i="1"/>
  <c r="I1882" i="1" a="1"/>
  <c r="I1882" i="1"/>
  <c r="F1879" i="1" a="1"/>
  <c r="F1879" i="1"/>
  <c r="G1877" i="1" a="1"/>
  <c r="G1877" i="1"/>
  <c r="J1877" i="1" a="1"/>
  <c r="J1877" i="1"/>
  <c r="K1875" i="1" a="1"/>
  <c r="K1875" i="1" s="1"/>
  <c r="H1883" i="1" a="1"/>
  <c r="H1883" i="1" s="1"/>
  <c r="J1879" i="1" a="1"/>
  <c r="J1879" i="1" s="1"/>
  <c r="I1885" i="1" a="1"/>
  <c r="I1885" i="1" s="1"/>
  <c r="J1885" i="1" a="1"/>
  <c r="J1885" i="1" s="1"/>
  <c r="H1885" i="1" a="1"/>
  <c r="H1885" i="1" s="1"/>
  <c r="G1885" i="1" a="1"/>
  <c r="G1885" i="1" s="1"/>
  <c r="K1882" i="1" a="1"/>
  <c r="K1882" i="1" s="1"/>
  <c r="F1885" i="1" a="1"/>
  <c r="F1885" i="1" s="1"/>
  <c r="K1883" i="1" a="1"/>
  <c r="K1883" i="1" s="1"/>
  <c r="H1879" i="1" a="1"/>
  <c r="H1879" i="1" s="1"/>
  <c r="F1883" i="1" a="1"/>
  <c r="F1883" i="1" s="1"/>
  <c r="F1882" i="1" a="1"/>
  <c r="F1882" i="1"/>
  <c r="G1882" i="1" a="1"/>
  <c r="G1882" i="1"/>
  <c r="I1883" i="1" a="1"/>
  <c r="I1883" i="1"/>
  <c r="H1882" i="1" a="1"/>
  <c r="H1882" i="1"/>
  <c r="K1879" i="1" a="1"/>
  <c r="K1879" i="1"/>
  <c r="I1879" i="1" a="1"/>
  <c r="I1879" i="1"/>
  <c r="I1877" i="1" a="1"/>
  <c r="I1877" i="1"/>
  <c r="K1877" i="1" a="1"/>
  <c r="K1877" i="1"/>
  <c r="F1889" i="1" a="1"/>
  <c r="F1889" i="1" s="1"/>
  <c r="K1887" i="1" a="1"/>
  <c r="K1887" i="1" s="1"/>
  <c r="J1882" i="1" a="1"/>
  <c r="J1882" i="1" s="1"/>
  <c r="G1883" i="1" a="1"/>
  <c r="G1883" i="1" s="1"/>
  <c r="I1889" i="1" a="1"/>
  <c r="I1889" i="1" s="1"/>
  <c r="H1889" i="1" a="1"/>
  <c r="H1889" i="1" s="1"/>
  <c r="H1863" i="1" a="1"/>
  <c r="H1863" i="1" s="1"/>
  <c r="H1860" i="1" a="1"/>
  <c r="H1860" i="1" s="1"/>
  <c r="I1866" i="1" a="1"/>
  <c r="I1866" i="1" s="1"/>
  <c r="J1866" i="1" a="1"/>
  <c r="J1866" i="1" s="1"/>
  <c r="F1863" i="1" a="1"/>
  <c r="F1863" i="1" s="1"/>
  <c r="G1869" i="1" a="1"/>
  <c r="G1869" i="1"/>
  <c r="K1865" i="1" a="1"/>
  <c r="K1865" i="1" s="1"/>
  <c r="F1869" i="1" a="1"/>
  <c r="F1869" i="1"/>
  <c r="K1873" i="1" a="1"/>
  <c r="K1873" i="1"/>
  <c r="H1867" i="1" a="1"/>
  <c r="H1867" i="1"/>
  <c r="J1873" i="1" a="1"/>
  <c r="J1873" i="1"/>
  <c r="I1865" i="1" a="1"/>
  <c r="I1865" i="1"/>
  <c r="I1873" i="1" a="1"/>
  <c r="I1873" i="1"/>
  <c r="I1860" i="1" a="1"/>
  <c r="I1860" i="1"/>
  <c r="J1860" i="1" a="1"/>
  <c r="J1860" i="1" s="1"/>
  <c r="F1865" i="1" a="1"/>
  <c r="F1865" i="1" s="1"/>
  <c r="G1871" i="1" a="1"/>
  <c r="G1871" i="1" s="1"/>
  <c r="H1869" i="1" a="1"/>
  <c r="H1869" i="1" s="1"/>
  <c r="H1865" i="1" a="1"/>
  <c r="H1865" i="1" s="1"/>
  <c r="F1866" i="1" a="1"/>
  <c r="F1866" i="1" s="1"/>
  <c r="H1862" i="1" a="1"/>
  <c r="H1862" i="1" s="1"/>
  <c r="K1860" i="1" a="1"/>
  <c r="K1860" i="1" s="1"/>
  <c r="G1863" i="1" a="1"/>
  <c r="G1863" i="1" s="1"/>
  <c r="G1862" i="1" a="1"/>
  <c r="G1862" i="1" s="1"/>
  <c r="F1862" i="1" a="1"/>
  <c r="F1862" i="1" s="1"/>
  <c r="I1875" i="1" a="1"/>
  <c r="I1875" i="1"/>
  <c r="H1873" i="1" a="1"/>
  <c r="H1873" i="1"/>
  <c r="G1873" i="1" a="1"/>
  <c r="G1873" i="1" s="1"/>
  <c r="J1865" i="1" a="1"/>
  <c r="J1865" i="1"/>
  <c r="I1863" i="1" a="1"/>
  <c r="I1863" i="1"/>
  <c r="K1863" i="1" a="1"/>
  <c r="K1863" i="1"/>
  <c r="I1871" i="1" a="1"/>
  <c r="I1871" i="1"/>
  <c r="J1863" i="1" a="1"/>
  <c r="J1863" i="1"/>
  <c r="F1871" i="1" a="1"/>
  <c r="F1871" i="1"/>
  <c r="I1862" i="1" a="1"/>
  <c r="I1862" i="1" s="1"/>
  <c r="K1869" i="1" a="1"/>
  <c r="K1869" i="1" s="1"/>
  <c r="F1867" i="1" a="1"/>
  <c r="F1867" i="1" s="1"/>
  <c r="J1867" i="1" a="1"/>
  <c r="J1867" i="1" s="1"/>
  <c r="J1862" i="1" a="1"/>
  <c r="J1862" i="1" s="1"/>
  <c r="K1866" i="1" a="1"/>
  <c r="K1866" i="1" s="1"/>
  <c r="G1865" i="1" a="1"/>
  <c r="G1865" i="1" s="1"/>
  <c r="K1867" i="1" a="1"/>
  <c r="K1867" i="1" s="1"/>
  <c r="H1866" i="1" a="1"/>
  <c r="H1866" i="1" s="1"/>
  <c r="H1875" i="1" a="1"/>
  <c r="H1875" i="1" s="1"/>
  <c r="I1867" i="1" a="1"/>
  <c r="I1867" i="1" s="1"/>
  <c r="G1866" i="1" a="1"/>
  <c r="G1866" i="1"/>
  <c r="K1871" i="1" a="1"/>
  <c r="K1871" i="1"/>
  <c r="K1862" i="1" a="1"/>
  <c r="K1862" i="1"/>
  <c r="G1867" i="1" a="1"/>
  <c r="G1867" i="1" s="1"/>
  <c r="G1875" i="1" a="1"/>
  <c r="G1875" i="1" s="1"/>
  <c r="F1875" i="1" a="1"/>
  <c r="F1875" i="1"/>
  <c r="I1869" i="1" a="1"/>
  <c r="I1869" i="1"/>
  <c r="H1871" i="1" a="1"/>
  <c r="H1871" i="1"/>
  <c r="F1873" i="1" a="1"/>
  <c r="F1873" i="1"/>
  <c r="J1871" i="1" a="1"/>
  <c r="J1871" i="1" s="1"/>
  <c r="J1869" i="1" a="1"/>
  <c r="J1869" i="1" s="1"/>
  <c r="F1850" i="1" a="1"/>
  <c r="F1850" i="1" s="1"/>
  <c r="J1852" i="1" a="1"/>
  <c r="J1852" i="1" s="1"/>
  <c r="G1850" i="1" a="1"/>
  <c r="G1850" i="1" s="1"/>
  <c r="G1852" i="1" a="1"/>
  <c r="G1852" i="1" s="1"/>
  <c r="G1860" i="1" a="1"/>
  <c r="G1860" i="1" s="1"/>
  <c r="F1852" i="1" a="1"/>
  <c r="F1852" i="1" s="1"/>
  <c r="F1860" i="1" a="1"/>
  <c r="F1860" i="1" s="1"/>
  <c r="K1859" i="1" a="1"/>
  <c r="K1859" i="1" s="1"/>
  <c r="J1859" i="1" a="1"/>
  <c r="J1859" i="1" s="1"/>
  <c r="I1859" i="1" a="1"/>
  <c r="I1859" i="1"/>
  <c r="J1850" i="1" a="1"/>
  <c r="J1850" i="1"/>
  <c r="F1854" i="1" a="1"/>
  <c r="F1854" i="1"/>
  <c r="H1859" i="1" a="1"/>
  <c r="H1859" i="1"/>
  <c r="G1856" i="1" a="1"/>
  <c r="G1856" i="1" s="1"/>
  <c r="F1856" i="1" a="1"/>
  <c r="F1856" i="1" s="1"/>
  <c r="H1852" i="1" a="1"/>
  <c r="H1852" i="1"/>
  <c r="F1859" i="1" a="1"/>
  <c r="F1859" i="1"/>
  <c r="J1856" i="1" a="1"/>
  <c r="J1856" i="1"/>
  <c r="I1856" i="1" a="1"/>
  <c r="I1856" i="1" s="1"/>
  <c r="H1856" i="1" a="1"/>
  <c r="H1856" i="1" s="1"/>
  <c r="H1854" i="1" a="1"/>
  <c r="H1854" i="1" s="1"/>
  <c r="K1852" i="1" a="1"/>
  <c r="K1852" i="1" s="1"/>
  <c r="K1854" i="1" a="1"/>
  <c r="K1854" i="1" s="1"/>
  <c r="H1850" i="1" a="1"/>
  <c r="H1850" i="1" s="1"/>
  <c r="I1850" i="1" a="1"/>
  <c r="I1850" i="1" s="1"/>
  <c r="J1854" i="1" a="1"/>
  <c r="J1854" i="1" s="1"/>
  <c r="K1848" i="1" a="1"/>
  <c r="K1848" i="1" s="1"/>
  <c r="G1859" i="1" a="1"/>
  <c r="G1859" i="1" s="1"/>
  <c r="G1854" i="1" a="1"/>
  <c r="G1854" i="1" s="1"/>
  <c r="I1852" i="1" a="1"/>
  <c r="I1852" i="1"/>
  <c r="K1850" i="1" a="1"/>
  <c r="K1850" i="1"/>
  <c r="K1856" i="1" a="1"/>
  <c r="K1856" i="1"/>
  <c r="I1854" i="1" a="1"/>
  <c r="I1854" i="1"/>
  <c r="K1840" i="1" a="1"/>
  <c r="K1840" i="1"/>
  <c r="K1845" i="1" a="1"/>
  <c r="K1845" i="1" s="1"/>
  <c r="K1841" i="1" a="1"/>
  <c r="K1841" i="1" s="1"/>
  <c r="G1840" i="1" a="1"/>
  <c r="G1840" i="1"/>
  <c r="I1848" i="1" a="1"/>
  <c r="I1848" i="1"/>
  <c r="H1848" i="1" a="1"/>
  <c r="H1848" i="1" s="1"/>
  <c r="G1848" i="1" a="1"/>
  <c r="G1848" i="1" s="1"/>
  <c r="G1841" i="1" a="1"/>
  <c r="G1841" i="1" s="1"/>
  <c r="F1848" i="1" a="1"/>
  <c r="F1848" i="1" s="1"/>
  <c r="K1846" i="1" a="1"/>
  <c r="K1846" i="1" s="1"/>
  <c r="H1846" i="1" a="1"/>
  <c r="H1846" i="1" s="1"/>
  <c r="H1845" i="1" a="1"/>
  <c r="H1845" i="1" s="1"/>
  <c r="J1845" i="1" a="1"/>
  <c r="J1845" i="1" s="1"/>
  <c r="I1841" i="1" a="1"/>
  <c r="I1841" i="1" s="1"/>
  <c r="H1840" i="1" a="1"/>
  <c r="H1840" i="1" s="1"/>
  <c r="F1845" i="1" a="1"/>
  <c r="F1845" i="1" s="1"/>
  <c r="F1841" i="1" a="1"/>
  <c r="F1841" i="1" s="1"/>
  <c r="F1846" i="1" a="1"/>
  <c r="F1846" i="1"/>
  <c r="H1841" i="1" a="1"/>
  <c r="H1841" i="1"/>
  <c r="J1846" i="1" a="1"/>
  <c r="J1846" i="1"/>
  <c r="I1845" i="1" a="1"/>
  <c r="I1845" i="1"/>
  <c r="G1846" i="1" a="1"/>
  <c r="G1846" i="1"/>
  <c r="G1843" i="1" a="1"/>
  <c r="G1843" i="1" s="1"/>
  <c r="G1845" i="1" a="1"/>
  <c r="G1845" i="1" s="1"/>
  <c r="K1843" i="1" a="1"/>
  <c r="K1843" i="1"/>
  <c r="F1840" i="1" a="1"/>
  <c r="F1840" i="1" s="1"/>
  <c r="J1843" i="1" a="1"/>
  <c r="J1843" i="1" s="1"/>
  <c r="I1843" i="1" a="1"/>
  <c r="I1843" i="1" s="1"/>
  <c r="J1840" i="1" a="1"/>
  <c r="J1840" i="1" s="1"/>
  <c r="I1840" i="1" a="1"/>
  <c r="I1840" i="1" s="1"/>
  <c r="J1848" i="1" a="1"/>
  <c r="J1848" i="1" s="1"/>
  <c r="I1846" i="1" a="1"/>
  <c r="I1846" i="1" s="1"/>
  <c r="F1843" i="1" a="1"/>
  <c r="F1843" i="1" s="1"/>
  <c r="H1843" i="1" a="1"/>
  <c r="H1843" i="1" s="1"/>
  <c r="J1841" i="1" a="1"/>
  <c r="J1841" i="1" s="1"/>
  <c r="K1827" i="1" a="1"/>
  <c r="K1827" i="1" s="1"/>
  <c r="K1837" i="1" a="1"/>
  <c r="K1837" i="1"/>
  <c r="F1837" i="1" a="1"/>
  <c r="F1837" i="1" s="1"/>
  <c r="I1831" i="1" a="1"/>
  <c r="I1831" i="1"/>
  <c r="I1833" i="1" a="1"/>
  <c r="I1833" i="1"/>
  <c r="G1829" i="1" a="1"/>
  <c r="G1829" i="1"/>
  <c r="F1827" i="1" a="1"/>
  <c r="F1827" i="1"/>
  <c r="G1826" i="1" a="1"/>
  <c r="G1826" i="1"/>
  <c r="G1831" i="1" a="1"/>
  <c r="G1831" i="1" s="1"/>
  <c r="H1835" i="1" a="1"/>
  <c r="H1835" i="1" s="1"/>
  <c r="H1829" i="1" a="1"/>
  <c r="H1829" i="1" s="1"/>
  <c r="I1827" i="1" a="1"/>
  <c r="I1827" i="1" s="1"/>
  <c r="G1835" i="1" a="1"/>
  <c r="G1835" i="1" s="1"/>
  <c r="H1826" i="1" a="1"/>
  <c r="H1826" i="1" s="1"/>
  <c r="H1827" i="1" a="1"/>
  <c r="H1827" i="1" s="1"/>
  <c r="J1837" i="1" a="1"/>
  <c r="J1837" i="1" s="1"/>
  <c r="I1829" i="1" a="1"/>
  <c r="I1829" i="1" s="1"/>
  <c r="F1835" i="1" a="1"/>
  <c r="F1835" i="1" s="1"/>
  <c r="H1833" i="1" a="1"/>
  <c r="H1833" i="1" s="1"/>
  <c r="J1831" i="1" a="1"/>
  <c r="J1831" i="1" s="1"/>
  <c r="G1827" i="1" a="1"/>
  <c r="G1827" i="1" s="1"/>
  <c r="J1826" i="1" a="1"/>
  <c r="J1826" i="1"/>
  <c r="H1837" i="1" a="1"/>
  <c r="H1837" i="1"/>
  <c r="G1837" i="1" a="1"/>
  <c r="G1837" i="1" s="1"/>
  <c r="K1835" i="1" a="1"/>
  <c r="K1835" i="1"/>
  <c r="G1833" i="1" a="1"/>
  <c r="G1833" i="1"/>
  <c r="J1835" i="1" a="1"/>
  <c r="J1835" i="1"/>
  <c r="K1831" i="1" a="1"/>
  <c r="K1831" i="1"/>
  <c r="J1833" i="1" a="1"/>
  <c r="J1833" i="1"/>
  <c r="F1833" i="1" a="1"/>
  <c r="F1833" i="1" s="1"/>
  <c r="F1826" i="1" a="1"/>
  <c r="F1826" i="1" s="1"/>
  <c r="F1831" i="1" a="1"/>
  <c r="F1831" i="1" s="1"/>
  <c r="J1829" i="1" a="1"/>
  <c r="J1829" i="1" s="1"/>
  <c r="F1829" i="1" a="1"/>
  <c r="F1829" i="1" s="1"/>
  <c r="I1835" i="1" a="1"/>
  <c r="I1835" i="1" s="1"/>
  <c r="K1833" i="1" a="1"/>
  <c r="K1833" i="1" s="1"/>
  <c r="K1829" i="1" a="1"/>
  <c r="K1829" i="1" s="1"/>
  <c r="J1827" i="1" a="1"/>
  <c r="J1827" i="1" s="1"/>
  <c r="I1826" i="1" a="1"/>
  <c r="I1826" i="1" s="1"/>
  <c r="K1826" i="1" a="1"/>
  <c r="K1826" i="1" s="1"/>
  <c r="I1837" i="1" a="1"/>
  <c r="I1837" i="1" s="1"/>
  <c r="H1831" i="1" a="1"/>
  <c r="H1831" i="1" s="1"/>
  <c r="I1822" i="1" a="1"/>
  <c r="I1822" i="1"/>
  <c r="H1822" i="1" a="1"/>
  <c r="H1822" i="1"/>
  <c r="G1821" i="1" a="1"/>
  <c r="G1821" i="1" s="1"/>
  <c r="G1822" i="1" a="1"/>
  <c r="G1822" i="1"/>
  <c r="F1822" i="1" a="1"/>
  <c r="F1822" i="1"/>
  <c r="J1821" i="1" a="1"/>
  <c r="J1821" i="1"/>
  <c r="I1821" i="1" a="1"/>
  <c r="I1821" i="1"/>
  <c r="H1821" i="1" a="1"/>
  <c r="H1821" i="1"/>
  <c r="K1821" i="1" a="1"/>
  <c r="K1821" i="1" s="1"/>
  <c r="K1824" i="1" a="1"/>
  <c r="K1824" i="1" s="1"/>
  <c r="J1824" i="1" a="1"/>
  <c r="J1824" i="1" s="1"/>
  <c r="I1824" i="1" a="1"/>
  <c r="I1824" i="1" s="1"/>
  <c r="H1824" i="1" a="1"/>
  <c r="H1824" i="1" s="1"/>
  <c r="G1824" i="1" a="1"/>
  <c r="G1824" i="1" s="1"/>
  <c r="F1821" i="1" a="1"/>
  <c r="F1821" i="1" s="1"/>
  <c r="F1824" i="1" a="1"/>
  <c r="F1824" i="1" s="1"/>
  <c r="K1822" i="1" a="1"/>
  <c r="K1822" i="1" s="1"/>
  <c r="J1822" i="1" a="1"/>
  <c r="J1822" i="1" s="1"/>
  <c r="F1039" i="1" a="1"/>
  <c r="F1039" i="1" s="1"/>
  <c r="I1037" i="1" a="1"/>
  <c r="I1037" i="1"/>
  <c r="J1039" i="1" a="1"/>
  <c r="J1039" i="1" s="1"/>
  <c r="I1030" i="1" a="1"/>
  <c r="I1030" i="1" s="1"/>
  <c r="K1030" i="1" a="1"/>
  <c r="K1030" i="1" s="1"/>
  <c r="J1037" i="1" a="1"/>
  <c r="J1037" i="1" s="1"/>
  <c r="H1037" i="1" a="1"/>
  <c r="H1037" i="1" s="1"/>
  <c r="F1037" i="1" a="1"/>
  <c r="F1037" i="1" s="1"/>
  <c r="K1039" i="1" a="1"/>
  <c r="K1039" i="1" s="1"/>
  <c r="K1037" i="1" a="1"/>
  <c r="K1037" i="1"/>
  <c r="J1030" i="1" a="1"/>
  <c r="J1030" i="1"/>
  <c r="I1039" i="1" a="1"/>
  <c r="I1039" i="1"/>
  <c r="H1039" i="1" a="1"/>
  <c r="H1039" i="1" s="1"/>
  <c r="G1039" i="1" a="1"/>
  <c r="G1039" i="1" s="1"/>
  <c r="G1037" i="1" a="1"/>
  <c r="G1037" i="1"/>
  <c r="H883" i="1" a="1"/>
  <c r="H883" i="1" s="1"/>
  <c r="J883" i="1" a="1"/>
  <c r="J883" i="1" s="1"/>
  <c r="I883" i="1" a="1"/>
  <c r="I883" i="1" s="1"/>
  <c r="G883" i="1" a="1"/>
  <c r="G883" i="1" s="1"/>
  <c r="F882" i="1" a="1"/>
  <c r="F882" i="1" s="1"/>
  <c r="F883" i="1" a="1"/>
  <c r="F883" i="1" s="1"/>
  <c r="K882" i="1" a="1"/>
  <c r="K882" i="1" s="1"/>
  <c r="J882" i="1" a="1"/>
  <c r="J882" i="1"/>
  <c r="H882" i="1" a="1"/>
  <c r="H882" i="1"/>
  <c r="G882" i="1" a="1"/>
  <c r="G882" i="1" s="1"/>
  <c r="I882" i="1" a="1"/>
  <c r="I882" i="1"/>
  <c r="J802" i="1" a="1"/>
  <c r="J802" i="1" s="1"/>
  <c r="J800" i="1" a="1"/>
  <c r="J800" i="1" s="1"/>
  <c r="I800" i="1" a="1"/>
  <c r="I800" i="1" s="1"/>
  <c r="H800" i="1" a="1"/>
  <c r="H800" i="1" s="1"/>
  <c r="G800" i="1" a="1"/>
  <c r="G800" i="1" s="1"/>
  <c r="H778" i="1" a="1"/>
  <c r="H778" i="1"/>
  <c r="J804" i="1" a="1"/>
  <c r="J804" i="1" s="1"/>
  <c r="G804" i="1" a="1"/>
  <c r="G804" i="1" s="1"/>
  <c r="F804" i="1" a="1"/>
  <c r="F804" i="1" s="1"/>
  <c r="K800" i="1" a="1"/>
  <c r="K800" i="1" s="1"/>
  <c r="H804" i="1" a="1"/>
  <c r="H804" i="1" s="1"/>
  <c r="G802" i="1" a="1"/>
  <c r="G802" i="1"/>
  <c r="F778" i="1" a="1"/>
  <c r="F778" i="1"/>
  <c r="K802" i="1" a="1"/>
  <c r="K802" i="1"/>
  <c r="F800" i="1" a="1"/>
  <c r="F800" i="1"/>
  <c r="I802" i="1" a="1"/>
  <c r="I802" i="1" s="1"/>
  <c r="K778" i="1" a="1"/>
  <c r="K778" i="1"/>
  <c r="G778" i="1" a="1"/>
  <c r="G778" i="1"/>
  <c r="I778" i="1" a="1"/>
  <c r="I778" i="1"/>
  <c r="K804" i="1" a="1"/>
  <c r="K804" i="1" s="1"/>
  <c r="I804" i="1" a="1"/>
  <c r="I804" i="1" s="1"/>
  <c r="J778" i="1" a="1"/>
  <c r="J778" i="1" s="1"/>
  <c r="J777" i="1" s="1"/>
  <c r="F802" i="1" a="1"/>
  <c r="F802" i="1" s="1"/>
  <c r="H802" i="1" a="1"/>
  <c r="H802" i="1" s="1"/>
  <c r="H764" i="1" a="1"/>
  <c r="H764" i="1" s="1"/>
  <c r="H814" i="1" s="1" a="1"/>
  <c r="H814" i="1" s="1"/>
  <c r="G764" i="1" a="1"/>
  <c r="G764" i="1" s="1"/>
  <c r="G814" i="1" s="1" a="1"/>
  <c r="G814" i="1" s="1"/>
  <c r="F764" i="1" a="1"/>
  <c r="F764" i="1"/>
  <c r="F814" i="1" s="1" a="1"/>
  <c r="F814" i="1" s="1"/>
  <c r="J764" i="1" a="1"/>
  <c r="J764" i="1" s="1"/>
  <c r="J814" i="1" s="1" a="1"/>
  <c r="J814" i="1" s="1"/>
  <c r="K764" i="1" a="1"/>
  <c r="K764" i="1" s="1"/>
  <c r="K814" i="1" s="1" a="1"/>
  <c r="K814" i="1" s="1"/>
  <c r="I764" i="1" a="1"/>
  <c r="I764" i="1" s="1"/>
  <c r="I814" i="1" s="1" a="1"/>
  <c r="I814" i="1" s="1"/>
  <c r="K926" i="1" a="1"/>
  <c r="K926" i="1" s="1"/>
  <c r="G926" i="1" a="1"/>
  <c r="G926" i="1" s="1"/>
  <c r="I912" i="1" a="1"/>
  <c r="I912" i="1"/>
  <c r="K914" i="1" a="1"/>
  <c r="K914" i="1"/>
  <c r="F926" i="1" a="1"/>
  <c r="F926" i="1"/>
  <c r="F912" i="1" a="1"/>
  <c r="F912" i="1" s="1"/>
  <c r="J914" i="1" a="1"/>
  <c r="J914" i="1" s="1"/>
  <c r="F914" i="1" a="1"/>
  <c r="F914" i="1"/>
  <c r="K912" i="1" a="1"/>
  <c r="K912" i="1"/>
  <c r="F894" i="1" a="1"/>
  <c r="F894" i="1"/>
  <c r="F923" i="1" s="1"/>
  <c r="F922" i="1" s="1"/>
  <c r="J912" i="1" a="1"/>
  <c r="J912" i="1" s="1"/>
  <c r="I894" i="1" a="1"/>
  <c r="I894" i="1" s="1"/>
  <c r="G914" i="1" a="1"/>
  <c r="G914" i="1" s="1"/>
  <c r="H926" i="1" a="1"/>
  <c r="H926" i="1" s="1"/>
  <c r="I914" i="1" a="1"/>
  <c r="I914" i="1" s="1"/>
  <c r="H912" i="1" a="1"/>
  <c r="H912" i="1" s="1"/>
  <c r="I926" i="1" a="1"/>
  <c r="I926" i="1" s="1"/>
  <c r="H914" i="1" a="1"/>
  <c r="H914" i="1"/>
  <c r="K883" i="1" a="1"/>
  <c r="K883" i="1" s="1"/>
  <c r="G894" i="1" a="1"/>
  <c r="G894" i="1" s="1"/>
  <c r="J894" i="1" a="1"/>
  <c r="J894" i="1" s="1"/>
  <c r="J923" i="1" s="1"/>
  <c r="J922" i="1" s="1"/>
  <c r="J926" i="1" a="1"/>
  <c r="J926" i="1" s="1"/>
  <c r="K894" i="1" a="1"/>
  <c r="K894" i="1"/>
  <c r="K923" i="1" s="1"/>
  <c r="K922" i="1" s="1"/>
  <c r="G912" i="1" a="1"/>
  <c r="G912" i="1"/>
  <c r="H894" i="1" a="1"/>
  <c r="H894" i="1"/>
  <c r="H901" i="1" s="1"/>
  <c r="K996" i="1" a="1"/>
  <c r="K996" i="1"/>
  <c r="J996" i="1" a="1"/>
  <c r="J996" i="1" s="1"/>
  <c r="G989" i="1" a="1"/>
  <c r="G989" i="1" s="1"/>
  <c r="I996" i="1" a="1"/>
  <c r="I996" i="1" s="1"/>
  <c r="F989" i="1" a="1"/>
  <c r="F989" i="1" s="1"/>
  <c r="H996" i="1" a="1"/>
  <c r="H996" i="1" s="1"/>
  <c r="K989" i="1" a="1"/>
  <c r="K989" i="1" s="1"/>
  <c r="I989" i="1" a="1"/>
  <c r="I989" i="1" s="1"/>
  <c r="H989" i="1" a="1"/>
  <c r="H989" i="1" s="1"/>
  <c r="J989" i="1" a="1"/>
  <c r="J989" i="1" s="1"/>
  <c r="G996" i="1" a="1"/>
  <c r="G996" i="1" s="1"/>
  <c r="F996" i="1" a="1"/>
  <c r="F996" i="1" s="1"/>
  <c r="G997" i="1" a="1"/>
  <c r="G997" i="1" s="1"/>
  <c r="G1049" i="1" s="1" a="1"/>
  <c r="G1049" i="1" s="1"/>
  <c r="F997" i="1" a="1"/>
  <c r="F997" i="1"/>
  <c r="F1049" i="1" s="1" a="1"/>
  <c r="F1049" i="1" s="1"/>
  <c r="K1027" i="1" a="1"/>
  <c r="K1027" i="1" s="1"/>
  <c r="J1027" i="1" a="1"/>
  <c r="J1027" i="1" s="1"/>
  <c r="G1030" i="1" a="1"/>
  <c r="G1030" i="1" s="1"/>
  <c r="F1030" i="1" a="1"/>
  <c r="F1030" i="1" s="1"/>
  <c r="I973" i="1" a="1"/>
  <c r="I973" i="1" s="1"/>
  <c r="H973" i="1" a="1"/>
  <c r="H973" i="1"/>
  <c r="G973" i="1" a="1"/>
  <c r="G973" i="1"/>
  <c r="F973" i="1" a="1"/>
  <c r="F973" i="1"/>
  <c r="J973" i="1" a="1"/>
  <c r="J973" i="1" s="1"/>
  <c r="F983" i="1" a="1"/>
  <c r="F983" i="1" s="1"/>
  <c r="F977" i="1" a="1"/>
  <c r="F977" i="1"/>
  <c r="F1051" i="1" s="1" a="1"/>
  <c r="F1051" i="1" s="1"/>
  <c r="H976" i="1" a="1"/>
  <c r="H976" i="1" s="1"/>
  <c r="F976" i="1" a="1"/>
  <c r="F976" i="1" s="1"/>
  <c r="J974" i="1" a="1"/>
  <c r="J974" i="1" s="1"/>
  <c r="G974" i="1" a="1"/>
  <c r="G974" i="1" s="1"/>
  <c r="F974" i="1" a="1"/>
  <c r="F974" i="1" s="1"/>
  <c r="K977" i="1" a="1"/>
  <c r="K977" i="1" s="1"/>
  <c r="K1051" i="1" s="1" a="1"/>
  <c r="K1051" i="1" s="1"/>
  <c r="G976" i="1" a="1"/>
  <c r="G976" i="1" s="1"/>
  <c r="H977" i="1" a="1"/>
  <c r="H977" i="1" s="1"/>
  <c r="H1051" i="1" s="1" a="1"/>
  <c r="H1051" i="1" s="1"/>
  <c r="J977" i="1" a="1"/>
  <c r="J977" i="1" s="1"/>
  <c r="J1051" i="1" s="1" a="1"/>
  <c r="J1051" i="1" s="1"/>
  <c r="I977" i="1" a="1"/>
  <c r="I977" i="1"/>
  <c r="I1051" i="1" s="1" a="1"/>
  <c r="I1051" i="1" s="1"/>
  <c r="G977" i="1" a="1"/>
  <c r="G977" i="1" s="1"/>
  <c r="G1051" i="1" s="1" a="1"/>
  <c r="G1051" i="1" s="1"/>
  <c r="K974" i="1" a="1"/>
  <c r="K974" i="1" s="1"/>
  <c r="K983" i="1" a="1"/>
  <c r="K983" i="1" s="1"/>
  <c r="H983" i="1" a="1"/>
  <c r="H983" i="1" s="1"/>
  <c r="H974" i="1" a="1"/>
  <c r="H974" i="1" s="1"/>
  <c r="J976" i="1" a="1"/>
  <c r="J976" i="1"/>
  <c r="K976" i="1" a="1"/>
  <c r="K976" i="1"/>
  <c r="I974" i="1" a="1"/>
  <c r="I974" i="1"/>
  <c r="J983" i="1" a="1"/>
  <c r="J983" i="1" s="1"/>
  <c r="I983" i="1" a="1"/>
  <c r="I983" i="1" s="1"/>
  <c r="G983" i="1" a="1"/>
  <c r="G983" i="1" s="1"/>
  <c r="I976" i="1" a="1"/>
  <c r="I976" i="1" s="1"/>
  <c r="K973" i="1" a="1"/>
  <c r="K973" i="1" s="1"/>
  <c r="J1022" i="1" a="1"/>
  <c r="J1022" i="1" s="1"/>
  <c r="I1022" i="1" a="1"/>
  <c r="I1022" i="1" s="1"/>
  <c r="H1022" i="1" a="1"/>
  <c r="H1022" i="1" s="1"/>
  <c r="G1022" i="1" a="1"/>
  <c r="G1022" i="1" s="1"/>
  <c r="F1022" i="1" a="1"/>
  <c r="F1022" i="1" s="1"/>
  <c r="K1022" i="1" a="1"/>
  <c r="K1022" i="1" s="1"/>
  <c r="H1025" i="1" a="1"/>
  <c r="H1025" i="1" s="1"/>
  <c r="J1025" i="1" a="1"/>
  <c r="J1025" i="1" s="1"/>
  <c r="G1025" i="1" a="1"/>
  <c r="G1025" i="1"/>
  <c r="F1025" i="1" a="1"/>
  <c r="F1025" i="1" s="1"/>
  <c r="I1025" i="1" a="1"/>
  <c r="I1025" i="1" s="1"/>
  <c r="J1006" i="1" a="1"/>
  <c r="J1006" i="1" s="1"/>
  <c r="J1052" i="1" s="1" a="1"/>
  <c r="J1052" i="1" s="1"/>
  <c r="H1006" i="1" a="1"/>
  <c r="H1006" i="1" s="1"/>
  <c r="H1052" i="1" s="1" a="1"/>
  <c r="H1052" i="1" s="1"/>
  <c r="K1006" i="1" a="1"/>
  <c r="K1006" i="1"/>
  <c r="K1052" i="1" s="1" a="1"/>
  <c r="K1052" i="1" s="1"/>
  <c r="I1006" i="1" a="1"/>
  <c r="I1006" i="1"/>
  <c r="I1052" i="1" s="1" a="1"/>
  <c r="I1052" i="1" s="1"/>
  <c r="G1006" i="1" a="1"/>
  <c r="G1006" i="1"/>
  <c r="G1052" i="1" s="1" a="1"/>
  <c r="G1052" i="1" s="1"/>
  <c r="F1006" i="1" a="1"/>
  <c r="F1006" i="1"/>
  <c r="F1052" i="1" s="1" a="1"/>
  <c r="F1052" i="1" s="1"/>
  <c r="J997" i="1" a="1"/>
  <c r="J997" i="1" s="1"/>
  <c r="J1049" i="1" s="1" a="1"/>
  <c r="J1049" i="1" s="1"/>
  <c r="H997" i="1" a="1"/>
  <c r="H997" i="1"/>
  <c r="H1049" i="1" s="1" a="1"/>
  <c r="H1049" i="1" s="1"/>
  <c r="K997" i="1" a="1"/>
  <c r="K997" i="1" s="1"/>
  <c r="K1049" i="1" s="1" a="1"/>
  <c r="K1049" i="1" s="1"/>
  <c r="I997" i="1" a="1"/>
  <c r="I997" i="1" s="1"/>
  <c r="I1049" i="1" s="1" a="1"/>
  <c r="I1049" i="1" s="1"/>
  <c r="I1027" i="1" a="1"/>
  <c r="I1027" i="1" s="1"/>
  <c r="H1027" i="1" a="1"/>
  <c r="H1027" i="1" s="1"/>
  <c r="G1027" i="1" a="1"/>
  <c r="G1027" i="1" s="1"/>
  <c r="F1027" i="1" a="1"/>
  <c r="F1027" i="1" s="1"/>
  <c r="K1025" i="1" a="1"/>
  <c r="K1025" i="1" s="1"/>
  <c r="H1030" i="1" a="1"/>
  <c r="H1030" i="1" s="1"/>
  <c r="K854" i="1"/>
  <c r="J854" i="1"/>
  <c r="I854" i="1"/>
  <c r="H854" i="1"/>
  <c r="H853" i="1" s="1"/>
  <c r="G854" i="1"/>
  <c r="G853" i="1" s="1"/>
  <c r="F854" i="1"/>
  <c r="K853" i="1"/>
  <c r="J853" i="1"/>
  <c r="I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H784" i="1"/>
  <c r="H785" i="1" s="1"/>
  <c r="F784" i="1"/>
  <c r="F785" i="1" s="1"/>
  <c r="H781" i="1"/>
  <c r="F781" i="1"/>
  <c r="K780" i="1"/>
  <c r="J780" i="1"/>
  <c r="I780" i="1"/>
  <c r="H780" i="1"/>
  <c r="G780" i="1"/>
  <c r="F780" i="1"/>
  <c r="K777" i="1"/>
  <c r="K784" i="1" s="1"/>
  <c r="K785" i="1" s="1"/>
  <c r="I777" i="1"/>
  <c r="I784" i="1" s="1"/>
  <c r="I785" i="1" s="1"/>
  <c r="H777" i="1"/>
  <c r="G777" i="1"/>
  <c r="G784" i="1" s="1"/>
  <c r="G785" i="1" s="1"/>
  <c r="F777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673" i="1"/>
  <c r="I673" i="1"/>
  <c r="G673" i="1"/>
  <c r="K672" i="1"/>
  <c r="I672" i="1"/>
  <c r="G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J667" i="1"/>
  <c r="J673" i="1" s="1"/>
  <c r="I667" i="1"/>
  <c r="H667" i="1"/>
  <c r="H673" i="1" s="1"/>
  <c r="G667" i="1"/>
  <c r="F667" i="1"/>
  <c r="F673" i="1" s="1"/>
  <c r="K666" i="1"/>
  <c r="J666" i="1"/>
  <c r="J672" i="1" s="1"/>
  <c r="I666" i="1"/>
  <c r="H666" i="1"/>
  <c r="H672" i="1" s="1"/>
  <c r="G666" i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F514" i="1"/>
  <c r="K503" i="1"/>
  <c r="J503" i="1"/>
  <c r="I503" i="1"/>
  <c r="H503" i="1"/>
  <c r="G503" i="1"/>
  <c r="F503" i="1"/>
  <c r="G478" i="1"/>
  <c r="F476" i="1"/>
  <c r="F475" i="1"/>
  <c r="G471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F437" i="1"/>
  <c r="I417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J398" i="1"/>
  <c r="J518" i="1" s="1"/>
  <c r="F398" i="1"/>
  <c r="F518" i="1" s="1"/>
  <c r="J397" i="1"/>
  <c r="J517" i="1" s="1"/>
  <c r="G397" i="1"/>
  <c r="G517" i="1" s="1"/>
  <c r="K396" i="1"/>
  <c r="K437" i="1" s="1"/>
  <c r="I396" i="1"/>
  <c r="I437" i="1" s="1"/>
  <c r="G396" i="1"/>
  <c r="G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J384" i="1"/>
  <c r="J515" i="1" s="1"/>
  <c r="G384" i="1"/>
  <c r="G515" i="1" s="1"/>
  <c r="F383" i="1"/>
  <c r="J382" i="1"/>
  <c r="J513" i="1" s="1"/>
  <c r="H382" i="1"/>
  <c r="H513" i="1" s="1"/>
  <c r="K379" i="1"/>
  <c r="J379" i="1"/>
  <c r="I379" i="1"/>
  <c r="H379" i="1"/>
  <c r="G379" i="1"/>
  <c r="F379" i="1"/>
  <c r="K378" i="1"/>
  <c r="K435" i="1" s="1"/>
  <c r="I378" i="1"/>
  <c r="I435" i="1" s="1"/>
  <c r="G378" i="1"/>
  <c r="G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H323" i="1"/>
  <c r="H478" i="1" s="1"/>
  <c r="I322" i="1"/>
  <c r="I477" i="1" s="1"/>
  <c r="H322" i="1"/>
  <c r="H477" i="1" s="1"/>
  <c r="K320" i="1"/>
  <c r="K475" i="1" s="1"/>
  <c r="F320" i="1"/>
  <c r="H317" i="1"/>
  <c r="H472" i="1" s="1"/>
  <c r="J316" i="1"/>
  <c r="J471" i="1" s="1"/>
  <c r="H316" i="1"/>
  <c r="H471" i="1" s="1"/>
  <c r="K313" i="1"/>
  <c r="K418" i="1" s="1"/>
  <c r="I313" i="1"/>
  <c r="I418" i="1" s="1"/>
  <c r="G313" i="1"/>
  <c r="G418" i="1" s="1"/>
  <c r="K312" i="1"/>
  <c r="K417" i="1" s="1"/>
  <c r="I312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G299" i="1"/>
  <c r="G463" i="1" s="1"/>
  <c r="K298" i="1"/>
  <c r="K411" i="1" s="1"/>
  <c r="I298" i="1"/>
  <c r="I411" i="1" s="1"/>
  <c r="G298" i="1"/>
  <c r="G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I127" i="1"/>
  <c r="H127" i="1"/>
  <c r="G127" i="1"/>
  <c r="K126" i="1"/>
  <c r="I126" i="1"/>
  <c r="G126" i="1"/>
  <c r="K124" i="1"/>
  <c r="I124" i="1"/>
  <c r="G124" i="1"/>
  <c r="F124" i="1"/>
  <c r="K123" i="1"/>
  <c r="H123" i="1"/>
  <c r="G123" i="1"/>
  <c r="F123" i="1"/>
  <c r="I122" i="1"/>
  <c r="H122" i="1"/>
  <c r="F122" i="1"/>
  <c r="J121" i="1"/>
  <c r="H121" i="1"/>
  <c r="G121" i="1"/>
  <c r="K120" i="1"/>
  <c r="J120" i="1"/>
  <c r="I120" i="1"/>
  <c r="G120" i="1"/>
  <c r="K119" i="1"/>
  <c r="I119" i="1"/>
  <c r="G119" i="1"/>
  <c r="K118" i="1"/>
  <c r="I118" i="1"/>
  <c r="G118" i="1"/>
  <c r="K117" i="1"/>
  <c r="I117" i="1"/>
  <c r="H117" i="1"/>
  <c r="G117" i="1"/>
  <c r="K116" i="1"/>
  <c r="J116" i="1"/>
  <c r="H116" i="1"/>
  <c r="J115" i="1"/>
  <c r="I115" i="1"/>
  <c r="H115" i="1"/>
  <c r="G115" i="1"/>
  <c r="F115" i="1"/>
  <c r="G114" i="1"/>
  <c r="F114" i="1"/>
  <c r="K113" i="1"/>
  <c r="G113" i="1"/>
  <c r="K393" i="1"/>
  <c r="J393" i="1"/>
  <c r="I393" i="1"/>
  <c r="H393" i="1"/>
  <c r="G393" i="1"/>
  <c r="F393" i="1"/>
  <c r="K288" i="1"/>
  <c r="K398" i="1" s="1"/>
  <c r="K518" i="1" s="1"/>
  <c r="J288" i="1"/>
  <c r="I288" i="1"/>
  <c r="I398" i="1" s="1"/>
  <c r="I518" i="1" s="1"/>
  <c r="H288" i="1"/>
  <c r="G288" i="1"/>
  <c r="F288" i="1"/>
  <c r="K287" i="1"/>
  <c r="K397" i="1" s="1"/>
  <c r="K517" i="1" s="1"/>
  <c r="J287" i="1"/>
  <c r="I287" i="1"/>
  <c r="H287" i="1"/>
  <c r="G287" i="1"/>
  <c r="F287" i="1"/>
  <c r="K285" i="1"/>
  <c r="K384" i="1" s="1"/>
  <c r="K515" i="1" s="1"/>
  <c r="J285" i="1"/>
  <c r="I285" i="1"/>
  <c r="I384" i="1" s="1"/>
  <c r="I515" i="1" s="1"/>
  <c r="H285" i="1"/>
  <c r="G285" i="1"/>
  <c r="F285" i="1"/>
  <c r="K284" i="1"/>
  <c r="K383" i="1" s="1"/>
  <c r="K514" i="1" s="1"/>
  <c r="J284" i="1"/>
  <c r="I284" i="1"/>
  <c r="I383" i="1" s="1"/>
  <c r="I514" i="1" s="1"/>
  <c r="H284" i="1"/>
  <c r="G284" i="1"/>
  <c r="F284" i="1"/>
  <c r="K283" i="1"/>
  <c r="K382" i="1" s="1"/>
  <c r="K513" i="1" s="1"/>
  <c r="J283" i="1"/>
  <c r="I283" i="1"/>
  <c r="I382" i="1" s="1"/>
  <c r="I513" i="1" s="1"/>
  <c r="H283" i="1"/>
  <c r="G283" i="1"/>
  <c r="F283" i="1"/>
  <c r="K248" i="1"/>
  <c r="J248" i="1"/>
  <c r="I248" i="1"/>
  <c r="H248" i="1"/>
  <c r="G248" i="1"/>
  <c r="G323" i="1" s="1"/>
  <c r="F248" i="1"/>
  <c r="K247" i="1"/>
  <c r="J247" i="1"/>
  <c r="I247" i="1"/>
  <c r="H247" i="1"/>
  <c r="G247" i="1"/>
  <c r="F247" i="1"/>
  <c r="K246" i="1"/>
  <c r="K321" i="1" s="1"/>
  <c r="K476" i="1" s="1"/>
  <c r="J246" i="1"/>
  <c r="I246" i="1"/>
  <c r="I321" i="1" s="1"/>
  <c r="I476" i="1" s="1"/>
  <c r="H246" i="1"/>
  <c r="G246" i="1"/>
  <c r="G321" i="1" s="1"/>
  <c r="G476" i="1" s="1"/>
  <c r="F246" i="1"/>
  <c r="K245" i="1"/>
  <c r="J245" i="1"/>
  <c r="I245" i="1"/>
  <c r="I320" i="1" s="1"/>
  <c r="I475" i="1" s="1"/>
  <c r="H245" i="1"/>
  <c r="G245" i="1"/>
  <c r="G320" i="1" s="1"/>
  <c r="G475" i="1" s="1"/>
  <c r="F245" i="1"/>
  <c r="K244" i="1"/>
  <c r="K319" i="1" s="1"/>
  <c r="K474" i="1" s="1"/>
  <c r="J244" i="1"/>
  <c r="I244" i="1"/>
  <c r="I319" i="1" s="1"/>
  <c r="I474" i="1" s="1"/>
  <c r="H244" i="1"/>
  <c r="G244" i="1"/>
  <c r="G319" i="1" s="1"/>
  <c r="G474" i="1" s="1"/>
  <c r="F244" i="1"/>
  <c r="F319" i="1" s="1"/>
  <c r="F474" i="1" s="1"/>
  <c r="K243" i="1"/>
  <c r="K318" i="1" s="1"/>
  <c r="K473" i="1" s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K299" i="1" s="1"/>
  <c r="K463" i="1" s="1"/>
  <c r="J233" i="1"/>
  <c r="I233" i="1"/>
  <c r="I299" i="1" s="1"/>
  <c r="I463" i="1" s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H214" i="1"/>
  <c r="H210" i="1" s="1"/>
  <c r="G214" i="1"/>
  <c r="F214" i="1"/>
  <c r="F210" i="1" s="1"/>
  <c r="K210" i="1"/>
  <c r="J210" i="1"/>
  <c r="I210" i="1"/>
  <c r="G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F378" i="1" s="1"/>
  <c r="F435" i="1" s="1"/>
  <c r="K188" i="1"/>
  <c r="J188" i="1"/>
  <c r="I188" i="1"/>
  <c r="H188" i="1"/>
  <c r="H313" i="1" s="1"/>
  <c r="H418" i="1" s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H398" i="1" s="1"/>
  <c r="H518" i="1" s="1"/>
  <c r="G170" i="1"/>
  <c r="G398" i="1" s="1"/>
  <c r="G518" i="1" s="1"/>
  <c r="F170" i="1"/>
  <c r="K169" i="1"/>
  <c r="J169" i="1"/>
  <c r="I169" i="1"/>
  <c r="I397" i="1" s="1"/>
  <c r="I517" i="1" s="1"/>
  <c r="H169" i="1"/>
  <c r="H397" i="1" s="1"/>
  <c r="H517" i="1" s="1"/>
  <c r="G169" i="1"/>
  <c r="F169" i="1"/>
  <c r="F397" i="1" s="1"/>
  <c r="F517" i="1" s="1"/>
  <c r="K168" i="1"/>
  <c r="J168" i="1"/>
  <c r="I168" i="1"/>
  <c r="H168" i="1"/>
  <c r="H396" i="1" s="1"/>
  <c r="H437" i="1" s="1"/>
  <c r="G168" i="1"/>
  <c r="F168" i="1"/>
  <c r="F396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H384" i="1" s="1"/>
  <c r="H515" i="1" s="1"/>
  <c r="G156" i="1"/>
  <c r="F156" i="1"/>
  <c r="F384" i="1" s="1"/>
  <c r="F515" i="1" s="1"/>
  <c r="K155" i="1"/>
  <c r="J155" i="1"/>
  <c r="J383" i="1" s="1"/>
  <c r="J514" i="1" s="1"/>
  <c r="I155" i="1"/>
  <c r="H155" i="1"/>
  <c r="H383" i="1" s="1"/>
  <c r="H514" i="1" s="1"/>
  <c r="G155" i="1"/>
  <c r="F155" i="1"/>
  <c r="K154" i="1"/>
  <c r="J154" i="1"/>
  <c r="I154" i="1"/>
  <c r="H154" i="1"/>
  <c r="G154" i="1"/>
  <c r="G382" i="1" s="1"/>
  <c r="G513" i="1" s="1"/>
  <c r="F154" i="1"/>
  <c r="F382" i="1" s="1"/>
  <c r="F513" i="1" s="1"/>
  <c r="K153" i="1"/>
  <c r="J153" i="1"/>
  <c r="J381" i="1" s="1"/>
  <c r="J512" i="1" s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J378" i="1" s="1"/>
  <c r="J435" i="1" s="1"/>
  <c r="I150" i="1"/>
  <c r="H150" i="1"/>
  <c r="H378" i="1" s="1"/>
  <c r="H435" i="1" s="1"/>
  <c r="G150" i="1"/>
  <c r="F150" i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H137" i="1" s="1" a="1"/>
  <c r="H137" i="1" s="1"/>
  <c r="G130" i="1"/>
  <c r="F130" i="1"/>
  <c r="K129" i="1"/>
  <c r="J129" i="1"/>
  <c r="I129" i="1"/>
  <c r="H129" i="1"/>
  <c r="G129" i="1"/>
  <c r="F129" i="1"/>
  <c r="K95" i="1"/>
  <c r="J95" i="1"/>
  <c r="J127" i="1" s="1"/>
  <c r="I95" i="1"/>
  <c r="H95" i="1"/>
  <c r="G95" i="1"/>
  <c r="F95" i="1"/>
  <c r="K94" i="1"/>
  <c r="K322" i="1" s="1"/>
  <c r="K477" i="1" s="1"/>
  <c r="J94" i="1"/>
  <c r="J126" i="1" s="1"/>
  <c r="I94" i="1"/>
  <c r="H94" i="1"/>
  <c r="H126" i="1" s="1"/>
  <c r="G94" i="1"/>
  <c r="G322" i="1" s="1"/>
  <c r="G477" i="1" s="1"/>
  <c r="F94" i="1"/>
  <c r="K93" i="1"/>
  <c r="J93" i="1"/>
  <c r="J321" i="1" s="1"/>
  <c r="J476" i="1" s="1"/>
  <c r="I93" i="1"/>
  <c r="H93" i="1"/>
  <c r="H321" i="1" s="1"/>
  <c r="H476" i="1" s="1"/>
  <c r="G93" i="1"/>
  <c r="F93" i="1"/>
  <c r="F321" i="1" s="1"/>
  <c r="K92" i="1"/>
  <c r="J92" i="1"/>
  <c r="I92" i="1"/>
  <c r="H92" i="1"/>
  <c r="G92" i="1"/>
  <c r="F92" i="1"/>
  <c r="K91" i="1"/>
  <c r="J91" i="1"/>
  <c r="J319" i="1" s="1"/>
  <c r="J474" i="1" s="1"/>
  <c r="I91" i="1"/>
  <c r="I123" i="1" s="1"/>
  <c r="H91" i="1"/>
  <c r="H319" i="1" s="1"/>
  <c r="H474" i="1" s="1"/>
  <c r="G91" i="1"/>
  <c r="F91" i="1"/>
  <c r="K90" i="1"/>
  <c r="K122" i="1" s="1"/>
  <c r="J90" i="1"/>
  <c r="I90" i="1"/>
  <c r="I318" i="1" s="1"/>
  <c r="I473" i="1" s="1"/>
  <c r="H90" i="1"/>
  <c r="H318" i="1" s="1"/>
  <c r="H473" i="1" s="1"/>
  <c r="G90" i="1"/>
  <c r="G122" i="1" s="1"/>
  <c r="F90" i="1"/>
  <c r="F318" i="1" s="1"/>
  <c r="F473" i="1" s="1"/>
  <c r="K89" i="1"/>
  <c r="K121" i="1" s="1"/>
  <c r="J89" i="1"/>
  <c r="J317" i="1" s="1"/>
  <c r="J472" i="1" s="1"/>
  <c r="I89" i="1"/>
  <c r="I121" i="1" s="1"/>
  <c r="H89" i="1"/>
  <c r="G89" i="1"/>
  <c r="F89" i="1"/>
  <c r="F121" i="1" s="1"/>
  <c r="K88" i="1"/>
  <c r="J88" i="1"/>
  <c r="I88" i="1"/>
  <c r="H88" i="1"/>
  <c r="H120" i="1" s="1"/>
  <c r="G88" i="1"/>
  <c r="G316" i="1" s="1"/>
  <c r="F88" i="1"/>
  <c r="F316" i="1" s="1"/>
  <c r="F471" i="1" s="1"/>
  <c r="K87" i="1"/>
  <c r="K315" i="1" s="1"/>
  <c r="K470" i="1" s="1"/>
  <c r="J87" i="1"/>
  <c r="I87" i="1"/>
  <c r="H87" i="1"/>
  <c r="G87" i="1"/>
  <c r="F87" i="1"/>
  <c r="K86" i="1"/>
  <c r="J86" i="1"/>
  <c r="J118" i="1" s="1"/>
  <c r="I86" i="1"/>
  <c r="H86" i="1"/>
  <c r="H118" i="1" s="1"/>
  <c r="G86" i="1"/>
  <c r="F86" i="1"/>
  <c r="K85" i="1"/>
  <c r="J85" i="1"/>
  <c r="I85" i="1"/>
  <c r="H85" i="1"/>
  <c r="G85" i="1"/>
  <c r="F85" i="1"/>
  <c r="K84" i="1"/>
  <c r="J84" i="1"/>
  <c r="J312" i="1" s="1"/>
  <c r="J417" i="1" s="1"/>
  <c r="I84" i="1"/>
  <c r="I116" i="1" s="1"/>
  <c r="H84" i="1"/>
  <c r="G84" i="1"/>
  <c r="G312" i="1" s="1"/>
  <c r="G417" i="1" s="1"/>
  <c r="F84" i="1"/>
  <c r="K83" i="1"/>
  <c r="K115" i="1" s="1"/>
  <c r="J83" i="1"/>
  <c r="I83" i="1"/>
  <c r="H83" i="1"/>
  <c r="G83" i="1"/>
  <c r="F83" i="1"/>
  <c r="K82" i="1"/>
  <c r="K114" i="1" s="1"/>
  <c r="J82" i="1"/>
  <c r="J114" i="1" s="1"/>
  <c r="I82" i="1"/>
  <c r="I114" i="1" s="1"/>
  <c r="H82" i="1"/>
  <c r="H114" i="1" s="1"/>
  <c r="G82" i="1"/>
  <c r="F82" i="1"/>
  <c r="K81" i="1"/>
  <c r="J81" i="1"/>
  <c r="J113" i="1" s="1"/>
  <c r="I81" i="1"/>
  <c r="I113" i="1" s="1"/>
  <c r="H81" i="1"/>
  <c r="H113" i="1" s="1"/>
  <c r="G81" i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J299" i="1" s="1"/>
  <c r="J463" i="1" s="1"/>
  <c r="I71" i="1"/>
  <c r="H71" i="1"/>
  <c r="H299" i="1" s="1"/>
  <c r="H463" i="1" s="1"/>
  <c r="G71" i="1"/>
  <c r="F71" i="1"/>
  <c r="F299" i="1" s="1"/>
  <c r="F463" i="1" s="1"/>
  <c r="K70" i="1"/>
  <c r="J70" i="1"/>
  <c r="J298" i="1" s="1"/>
  <c r="J411" i="1" s="1"/>
  <c r="I70" i="1"/>
  <c r="H70" i="1"/>
  <c r="H298" i="1" s="1"/>
  <c r="H411" i="1" s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G2044" i="1" a="1"/>
  <c r="G2044" i="1"/>
  <c r="H2042" i="1" a="1"/>
  <c r="H2042" i="1"/>
  <c r="H2044" i="1" a="1"/>
  <c r="H2044" i="1"/>
  <c r="K2042" i="1" a="1"/>
  <c r="K2042" i="1"/>
  <c r="K2044" i="1" a="1"/>
  <c r="K2044" i="1"/>
  <c r="F2044" i="1" a="1"/>
  <c r="F2044" i="1"/>
  <c r="J2043" i="1" a="1"/>
  <c r="J2043" i="1"/>
  <c r="F2043" i="1" a="1"/>
  <c r="F2043" i="1"/>
  <c r="G2042" i="1" a="1"/>
  <c r="G2042" i="1"/>
  <c r="K2043" i="1" a="1"/>
  <c r="K2043" i="1" s="1"/>
  <c r="J2044" i="1" a="1"/>
  <c r="J2044" i="1" s="1"/>
  <c r="F2042" i="1" a="1"/>
  <c r="F2042" i="1" s="1"/>
  <c r="I2042" i="1" a="1"/>
  <c r="I2042" i="1" s="1"/>
  <c r="H2043" i="1" a="1"/>
  <c r="H2043" i="1"/>
  <c r="I2043" i="1" a="1"/>
  <c r="I2043" i="1" s="1"/>
  <c r="I2044" i="1" a="1"/>
  <c r="I2044" i="1" s="1"/>
  <c r="G2043" i="1" a="1"/>
  <c r="G2043" i="1" s="1"/>
  <c r="J2042" i="1" a="1"/>
  <c r="J2042" i="1" s="1"/>
  <c r="J2038" i="1" a="1"/>
  <c r="J2038" i="1" s="1"/>
  <c r="J2036" i="1" a="1"/>
  <c r="J2036" i="1" s="1"/>
  <c r="I2035" i="1" a="1"/>
  <c r="I2035" i="1"/>
  <c r="I2031" i="1" a="1"/>
  <c r="I2031" i="1"/>
  <c r="I2038" i="1" a="1"/>
  <c r="I2038" i="1"/>
  <c r="H2038" i="1" a="1"/>
  <c r="H2038" i="1"/>
  <c r="F2038" i="1" a="1"/>
  <c r="F2038" i="1"/>
  <c r="I2037" i="1" a="1"/>
  <c r="I2037" i="1"/>
  <c r="F2033" i="1" a="1"/>
  <c r="F2033" i="1"/>
  <c r="H2037" i="1" a="1"/>
  <c r="H2037" i="1"/>
  <c r="K2034" i="1" a="1"/>
  <c r="K2034" i="1"/>
  <c r="H2034" i="1" a="1"/>
  <c r="H2034" i="1" s="1"/>
  <c r="F2037" i="1" a="1"/>
  <c r="F2037" i="1" s="1"/>
  <c r="K2036" i="1" a="1"/>
  <c r="K2036" i="1" s="1"/>
  <c r="H2033" i="1" a="1"/>
  <c r="H2033" i="1" s="1"/>
  <c r="H2031" i="1" a="1"/>
  <c r="H2031" i="1" s="1"/>
  <c r="I2034" i="1" a="1"/>
  <c r="I2034" i="1"/>
  <c r="G2036" i="1" a="1"/>
  <c r="G2036" i="1" s="1"/>
  <c r="F2036" i="1" a="1"/>
  <c r="F2036" i="1" s="1"/>
  <c r="J2032" i="1" a="1"/>
  <c r="J2032" i="1" s="1"/>
  <c r="K2035" i="1" a="1"/>
  <c r="K2035" i="1" s="1"/>
  <c r="G2033" i="1" a="1"/>
  <c r="G2033" i="1" s="1"/>
  <c r="J2034" i="1" a="1"/>
  <c r="J2034" i="1"/>
  <c r="G2035" i="1" a="1"/>
  <c r="G2035" i="1"/>
  <c r="K2033" i="1" a="1"/>
  <c r="K2033" i="1"/>
  <c r="H2035" i="1" a="1"/>
  <c r="H2035" i="1"/>
  <c r="G2032" i="1" a="1"/>
  <c r="G2032" i="1"/>
  <c r="J2035" i="1" a="1"/>
  <c r="J2035" i="1"/>
  <c r="K2032" i="1" a="1"/>
  <c r="K2032" i="1"/>
  <c r="K2041" i="1" a="1"/>
  <c r="K2041" i="1"/>
  <c r="J2041" i="1" a="1"/>
  <c r="J2041" i="1"/>
  <c r="H2032" i="1" a="1"/>
  <c r="H2032" i="1" s="1"/>
  <c r="I2041" i="1" a="1"/>
  <c r="I2041" i="1" s="1"/>
  <c r="H2041" i="1" a="1"/>
  <c r="H2041" i="1" s="1"/>
  <c r="G2034" i="1" a="1"/>
  <c r="G2034" i="1" s="1"/>
  <c r="G2041" i="1" a="1"/>
  <c r="G2041" i="1" s="1"/>
  <c r="H2040" i="1" a="1"/>
  <c r="H2040" i="1" s="1"/>
  <c r="K2038" i="1" a="1"/>
  <c r="K2038" i="1"/>
  <c r="K2031" i="1" a="1"/>
  <c r="K2031" i="1" s="1"/>
  <c r="J2031" i="1" a="1"/>
  <c r="J2031" i="1" s="1"/>
  <c r="F2039" i="1" a="1"/>
  <c r="F2039" i="1" s="1"/>
  <c r="J2039" i="1" a="1"/>
  <c r="J2039" i="1" s="1"/>
  <c r="I2039" i="1" a="1"/>
  <c r="I2039" i="1"/>
  <c r="F2034" i="1" a="1"/>
  <c r="F2034" i="1"/>
  <c r="J2037" i="1" a="1"/>
  <c r="J2037" i="1"/>
  <c r="G2037" i="1" a="1"/>
  <c r="G2037" i="1"/>
  <c r="H2036" i="1" a="1"/>
  <c r="H2036" i="1"/>
  <c r="J2033" i="1" a="1"/>
  <c r="J2033" i="1"/>
  <c r="I2033" i="1" a="1"/>
  <c r="I2033" i="1"/>
  <c r="K2040" i="1" a="1"/>
  <c r="K2040" i="1"/>
  <c r="F2041" i="1" a="1"/>
  <c r="F2041" i="1"/>
  <c r="J2040" i="1" a="1"/>
  <c r="J2040" i="1" s="1"/>
  <c r="I2040" i="1" a="1"/>
  <c r="I2040" i="1" s="1"/>
  <c r="G2040" i="1" a="1"/>
  <c r="G2040" i="1" s="1"/>
  <c r="G2038" i="1" a="1"/>
  <c r="G2038" i="1" s="1"/>
  <c r="I2032" i="1" a="1"/>
  <c r="I2032" i="1" s="1"/>
  <c r="K2037" i="1" a="1"/>
  <c r="K2037" i="1" s="1"/>
  <c r="F2035" i="1" a="1"/>
  <c r="F2035" i="1" s="1"/>
  <c r="F2040" i="1" a="1"/>
  <c r="F2040" i="1"/>
  <c r="G2039" i="1" a="1"/>
  <c r="G2039" i="1" s="1"/>
  <c r="I2036" i="1" a="1"/>
  <c r="I2036" i="1" s="1"/>
  <c r="F2032" i="1" a="1"/>
  <c r="F2032" i="1" s="1"/>
  <c r="K2039" i="1" a="1"/>
  <c r="K2039" i="1"/>
  <c r="H2039" i="1" a="1"/>
  <c r="H2039" i="1"/>
  <c r="J2030" i="1" a="1"/>
  <c r="J2030" i="1"/>
  <c r="I2030" i="1" a="1"/>
  <c r="I2030" i="1"/>
  <c r="H2030" i="1" a="1"/>
  <c r="H2030" i="1"/>
  <c r="G2030" i="1" a="1"/>
  <c r="G2030" i="1"/>
  <c r="K2027" i="1" a="1"/>
  <c r="K2027" i="1"/>
  <c r="F2030" i="1" a="1"/>
  <c r="F2030" i="1"/>
  <c r="I2029" i="1" a="1"/>
  <c r="I2029" i="1" s="1"/>
  <c r="H2029" i="1" a="1"/>
  <c r="H2029" i="1" s="1"/>
  <c r="J2027" i="1" a="1"/>
  <c r="J2027" i="1" s="1"/>
  <c r="J2026" i="1" s="1" a="1"/>
  <c r="J2026" i="1" s="1"/>
  <c r="H2027" i="1" a="1"/>
  <c r="H2027" i="1" s="1"/>
  <c r="H2026" i="1" s="1" a="1"/>
  <c r="H2026" i="1" s="1"/>
  <c r="K2026" i="1" a="1"/>
  <c r="K2026" i="1" s="1"/>
  <c r="F2021" i="1" a="1"/>
  <c r="F2021" i="1"/>
  <c r="J2020" i="1" a="1"/>
  <c r="J2020" i="1" s="1"/>
  <c r="F2024" i="1" a="1"/>
  <c r="F2024" i="1" s="1"/>
  <c r="F2023" i="1" s="1" a="1"/>
  <c r="F2023" i="1" s="1"/>
  <c r="K2020" i="1" a="1"/>
  <c r="K2020" i="1"/>
  <c r="J2024" i="1" a="1"/>
  <c r="J2024" i="1"/>
  <c r="I2027" i="1" a="1"/>
  <c r="I2027" i="1"/>
  <c r="I2026" i="1" s="1" a="1"/>
  <c r="I2026" i="1" s="1"/>
  <c r="H2021" i="1" a="1"/>
  <c r="H2021" i="1"/>
  <c r="I2021" i="1" a="1"/>
  <c r="I2021" i="1"/>
  <c r="G2021" i="1" a="1"/>
  <c r="G2021" i="1"/>
  <c r="G2024" i="1" a="1"/>
  <c r="G2024" i="1"/>
  <c r="G2023" i="1" s="1" a="1"/>
  <c r="G2023" i="1" s="1"/>
  <c r="I2024" i="1" a="1"/>
  <c r="I2024" i="1" s="1"/>
  <c r="F2020" i="1" a="1"/>
  <c r="F2020" i="1" s="1"/>
  <c r="H2024" i="1" a="1"/>
  <c r="H2024" i="1" s="1"/>
  <c r="J2029" i="1" a="1"/>
  <c r="J2029" i="1" s="1"/>
  <c r="F2027" i="1" a="1"/>
  <c r="F2027" i="1" s="1"/>
  <c r="F2026" i="1" s="1" a="1"/>
  <c r="F2026" i="1" s="1"/>
  <c r="H2023" i="1" a="1"/>
  <c r="H2023" i="1" s="1"/>
  <c r="G2029" i="1" a="1"/>
  <c r="G2029" i="1" s="1"/>
  <c r="J2023" i="1" a="1"/>
  <c r="J2023" i="1" s="1"/>
  <c r="F2029" i="1" a="1"/>
  <c r="F2029" i="1" s="1"/>
  <c r="K2024" i="1" a="1"/>
  <c r="K2024" i="1"/>
  <c r="K2023" i="1" s="1" a="1"/>
  <c r="K2023" i="1" s="1"/>
  <c r="G2027" i="1" a="1"/>
  <c r="G2027" i="1"/>
  <c r="G2026" i="1" s="1" a="1"/>
  <c r="G2026" i="1" s="1"/>
  <c r="I2020" i="1" a="1"/>
  <c r="I2020" i="1"/>
  <c r="I2023" i="1" a="1"/>
  <c r="I2023" i="1"/>
  <c r="J2021" i="1" a="1"/>
  <c r="J2021" i="1"/>
  <c r="H2020" i="1" a="1"/>
  <c r="H2020" i="1"/>
  <c r="G2020" i="1" a="1"/>
  <c r="G2020" i="1"/>
  <c r="G2031" i="1" a="1"/>
  <c r="G2031" i="1"/>
  <c r="K2029" i="1" a="1"/>
  <c r="K2029" i="1"/>
  <c r="K2021" i="1" a="1"/>
  <c r="K2021" i="1" s="1"/>
  <c r="F2031" i="1" a="1"/>
  <c r="F2031" i="1" s="1"/>
  <c r="K2030" i="1" a="1"/>
  <c r="K2030" i="1" s="1"/>
  <c r="F2018" i="1" a="1"/>
  <c r="F2018" i="1" s="1"/>
  <c r="K2018" i="1" a="1"/>
  <c r="K2018" i="1" s="1"/>
  <c r="I2018" i="1" a="1"/>
  <c r="I2018" i="1" s="1"/>
  <c r="J2018" i="1" a="1"/>
  <c r="J2018" i="1" s="1"/>
  <c r="G2018" i="1" a="1"/>
  <c r="G2018" i="1" s="1"/>
  <c r="H2018" i="1" a="1"/>
  <c r="H2018" i="1" s="1"/>
  <c r="J1704" i="1" a="1"/>
  <c r="J1704" i="1" s="1"/>
  <c r="F1704" i="1" a="1"/>
  <c r="F1704" i="1" s="1"/>
  <c r="H1704" i="1" a="1"/>
  <c r="H1704" i="1"/>
  <c r="K1703" i="1" a="1"/>
  <c r="K1703" i="1"/>
  <c r="G1703" i="1" a="1"/>
  <c r="G1703" i="1"/>
  <c r="I1703" i="1" a="1"/>
  <c r="I1703" i="1"/>
  <c r="K1704" i="1" a="1"/>
  <c r="K1704" i="1"/>
  <c r="H1703" i="1" a="1"/>
  <c r="H1703" i="1"/>
  <c r="I1704" i="1" a="1"/>
  <c r="I1704" i="1"/>
  <c r="J1703" i="1" a="1"/>
  <c r="J1703" i="1"/>
  <c r="F1703" i="1" a="1"/>
  <c r="F1703" i="1"/>
  <c r="G1704" i="1" a="1"/>
  <c r="G1704" i="1" s="1"/>
  <c r="K30" i="1" a="1"/>
  <c r="K30" i="1"/>
  <c r="G31" i="1" a="1"/>
  <c r="G31" i="1" s="1"/>
  <c r="I31" i="1" a="1"/>
  <c r="I31" i="1" s="1"/>
  <c r="J30" i="1" a="1"/>
  <c r="J30" i="1" s="1"/>
  <c r="F31" i="1" a="1"/>
  <c r="F31" i="1" s="1"/>
  <c r="I30" i="1" a="1"/>
  <c r="I30" i="1" s="1"/>
  <c r="J31" i="1" a="1"/>
  <c r="J31" i="1" s="1"/>
  <c r="K31" i="1" a="1"/>
  <c r="K31" i="1" s="1"/>
  <c r="H31" i="1" a="1"/>
  <c r="H31" i="1" s="1"/>
  <c r="H30" i="1" a="1"/>
  <c r="H30" i="1" s="1"/>
  <c r="G30" i="1" a="1"/>
  <c r="G30" i="1"/>
  <c r="F30" i="1" a="1"/>
  <c r="F30" i="1"/>
  <c r="I741" i="1" a="1"/>
  <c r="I741" i="1"/>
  <c r="G741" i="1" a="1"/>
  <c r="G741" i="1"/>
  <c r="J741" i="1" a="1"/>
  <c r="J741" i="1"/>
  <c r="J740" i="1" a="1"/>
  <c r="J740" i="1" s="1"/>
  <c r="J742" i="1" s="1" a="1"/>
  <c r="J742" i="1" s="1"/>
  <c r="K741" i="1" a="1"/>
  <c r="K741" i="1" s="1"/>
  <c r="H741" i="1" a="1"/>
  <c r="H741" i="1" s="1"/>
  <c r="F741" i="1" a="1"/>
  <c r="F741" i="1" s="1"/>
  <c r="G725" i="1" a="1"/>
  <c r="G725" i="1"/>
  <c r="J738" i="1" a="1"/>
  <c r="J738" i="1"/>
  <c r="G722" i="1" a="1"/>
  <c r="G722" i="1"/>
  <c r="J725" i="1" a="1"/>
  <c r="J725" i="1"/>
  <c r="J726" i="1"/>
  <c r="I725" i="1" a="1"/>
  <c r="I725" i="1"/>
  <c r="H722" i="1" a="1"/>
  <c r="H722" i="1"/>
  <c r="I738" i="1" a="1"/>
  <c r="I738" i="1" s="1"/>
  <c r="H725" i="1" a="1"/>
  <c r="H725" i="1" s="1"/>
  <c r="F738" i="1" a="1"/>
  <c r="F738" i="1" s="1"/>
  <c r="F725" i="1" a="1"/>
  <c r="F725" i="1" s="1"/>
  <c r="H738" i="1" a="1"/>
  <c r="H738" i="1" s="1"/>
  <c r="K725" i="1" a="1"/>
  <c r="K725" i="1" s="1"/>
  <c r="G738" i="1" a="1"/>
  <c r="G738" i="1" s="1"/>
  <c r="F722" i="1" a="1"/>
  <c r="F722" i="1" s="1"/>
  <c r="K722" i="1" a="1"/>
  <c r="K722" i="1"/>
  <c r="K738" i="1" a="1"/>
  <c r="K738" i="1"/>
  <c r="J724" i="1"/>
  <c r="J726" i="1" s="1" a="1"/>
  <c r="J722" i="1" a="1"/>
  <c r="J722" i="1"/>
  <c r="I722" i="1" a="1"/>
  <c r="I722" i="1"/>
  <c r="F718" i="1" a="1"/>
  <c r="F718" i="1" s="1"/>
  <c r="K717" i="1" a="1"/>
  <c r="K717" i="1" s="1"/>
  <c r="H717" i="1" a="1"/>
  <c r="H717" i="1" s="1"/>
  <c r="K716" i="1" a="1"/>
  <c r="K716" i="1"/>
  <c r="K724" i="1" s="1" a="1"/>
  <c r="K724" i="1" s="1"/>
  <c r="K726" i="1" s="1" a="1"/>
  <c r="K726" i="1" s="1"/>
  <c r="I716" i="1" a="1"/>
  <c r="I716" i="1" s="1"/>
  <c r="G714" i="1" a="1"/>
  <c r="G714" i="1" s="1"/>
  <c r="F707" i="1" a="1"/>
  <c r="F707" i="1" s="1"/>
  <c r="F716" i="1" a="1"/>
  <c r="F716" i="1" s="1"/>
  <c r="K714" i="1" a="1"/>
  <c r="K714" i="1" s="1"/>
  <c r="F709" i="1" a="1"/>
  <c r="F709" i="1" s="1"/>
  <c r="G707" i="1" a="1"/>
  <c r="G707" i="1"/>
  <c r="K694" i="1" a="1"/>
  <c r="K694" i="1"/>
  <c r="F695" i="1" a="1"/>
  <c r="F695" i="1"/>
  <c r="J714" i="1" a="1"/>
  <c r="J714" i="1"/>
  <c r="G695" i="1" a="1"/>
  <c r="G695" i="1"/>
  <c r="K707" i="1" a="1"/>
  <c r="K707" i="1"/>
  <c r="J709" i="1" a="1"/>
  <c r="J709" i="1"/>
  <c r="H695" i="1" a="1"/>
  <c r="H695" i="1"/>
  <c r="G718" i="1" a="1"/>
  <c r="G718" i="1"/>
  <c r="J716" i="1" a="1"/>
  <c r="J716" i="1" s="1"/>
  <c r="I718" i="1" a="1"/>
  <c r="I718" i="1" s="1"/>
  <c r="J717" i="1" a="1"/>
  <c r="J717" i="1" s="1"/>
  <c r="F714" i="1" a="1"/>
  <c r="F714" i="1" s="1"/>
  <c r="I717" i="1" a="1"/>
  <c r="I717" i="1" s="1"/>
  <c r="G717" i="1" a="1"/>
  <c r="G717" i="1"/>
  <c r="F717" i="1" a="1"/>
  <c r="F717" i="1" s="1"/>
  <c r="H716" i="1" a="1"/>
  <c r="H716" i="1" s="1"/>
  <c r="G709" i="1" a="1"/>
  <c r="G709" i="1" s="1"/>
  <c r="G716" i="1" a="1"/>
  <c r="G716" i="1" s="1"/>
  <c r="I707" i="1" a="1"/>
  <c r="I707" i="1" s="1"/>
  <c r="I694" i="1" a="1"/>
  <c r="I694" i="1"/>
  <c r="I714" i="1" a="1"/>
  <c r="I714" i="1"/>
  <c r="H714" i="1" a="1"/>
  <c r="H714" i="1"/>
  <c r="K709" i="1" a="1"/>
  <c r="K709" i="1"/>
  <c r="I709" i="1" a="1"/>
  <c r="I709" i="1"/>
  <c r="J694" i="1" a="1"/>
  <c r="J694" i="1"/>
  <c r="J707" i="1" a="1"/>
  <c r="J707" i="1"/>
  <c r="H707" i="1" a="1"/>
  <c r="H707" i="1"/>
  <c r="K695" i="1" a="1"/>
  <c r="K695" i="1"/>
  <c r="I695" i="1" a="1"/>
  <c r="I695" i="1" s="1"/>
  <c r="J695" i="1" a="1"/>
  <c r="J695" i="1" s="1"/>
  <c r="H709" i="1" a="1"/>
  <c r="H709" i="1" s="1"/>
  <c r="K718" i="1" a="1"/>
  <c r="K718" i="1" s="1"/>
  <c r="J718" i="1" a="1"/>
  <c r="J718" i="1" s="1"/>
  <c r="J724" i="1" s="1" a="1"/>
  <c r="H718" i="1" a="1"/>
  <c r="H718" i="1" s="1"/>
  <c r="J681" i="1" a="1"/>
  <c r="J681" i="1"/>
  <c r="F680" i="1" a="1"/>
  <c r="F680" i="1" s="1"/>
  <c r="I679" i="1" a="1"/>
  <c r="I679" i="1" s="1"/>
  <c r="K686" i="1" a="1"/>
  <c r="K686" i="1" s="1"/>
  <c r="F685" i="1" a="1"/>
  <c r="F685" i="1" s="1"/>
  <c r="J686" i="1" a="1"/>
  <c r="J686" i="1"/>
  <c r="H686" i="1" a="1"/>
  <c r="H686" i="1"/>
  <c r="J685" i="1" a="1"/>
  <c r="J685" i="1"/>
  <c r="F683" i="1" a="1"/>
  <c r="F683" i="1"/>
  <c r="I685" i="1" a="1"/>
  <c r="I685" i="1"/>
  <c r="J683" i="1" a="1"/>
  <c r="J683" i="1"/>
  <c r="I683" i="1" a="1"/>
  <c r="I683" i="1"/>
  <c r="I680" i="1" a="1"/>
  <c r="I680" i="1"/>
  <c r="H681" i="1" a="1"/>
  <c r="H681" i="1"/>
  <c r="J679" i="1" a="1"/>
  <c r="J679" i="1" s="1"/>
  <c r="J680" i="1" a="1"/>
  <c r="J680" i="1" s="1"/>
  <c r="F694" i="1" a="1"/>
  <c r="F694" i="1" s="1"/>
  <c r="F681" i="1" a="1"/>
  <c r="F681" i="1" s="1"/>
  <c r="K680" i="1" a="1"/>
  <c r="K680" i="1" s="1"/>
  <c r="I686" i="1" a="1"/>
  <c r="I686" i="1" s="1"/>
  <c r="F686" i="1" a="1"/>
  <c r="F686" i="1" s="1"/>
  <c r="G681" i="1" a="1"/>
  <c r="G681" i="1"/>
  <c r="K685" i="1" a="1"/>
  <c r="K685" i="1" s="1"/>
  <c r="H685" i="1" a="1"/>
  <c r="H685" i="1" s="1"/>
  <c r="K683" i="1" a="1"/>
  <c r="K683" i="1" s="1"/>
  <c r="F679" i="1" a="1"/>
  <c r="F679" i="1"/>
  <c r="H683" i="1" a="1"/>
  <c r="H683" i="1"/>
  <c r="G679" i="1" a="1"/>
  <c r="G679" i="1"/>
  <c r="I681" i="1" a="1"/>
  <c r="I681" i="1"/>
  <c r="H680" i="1" a="1"/>
  <c r="H680" i="1"/>
  <c r="K679" i="1" a="1"/>
  <c r="K679" i="1"/>
  <c r="H679" i="1" a="1"/>
  <c r="H679" i="1"/>
  <c r="G685" i="1" a="1"/>
  <c r="G685" i="1"/>
  <c r="G680" i="1" a="1"/>
  <c r="G680" i="1"/>
  <c r="H694" i="1" a="1"/>
  <c r="H694" i="1" s="1"/>
  <c r="G694" i="1" a="1"/>
  <c r="G694" i="1" s="1"/>
  <c r="G686" i="1" a="1"/>
  <c r="G686" i="1" s="1"/>
  <c r="G683" i="1" a="1"/>
  <c r="G683" i="1" s="1"/>
  <c r="K681" i="1" a="1"/>
  <c r="K681" i="1" s="1"/>
  <c r="F651" i="1" a="1"/>
  <c r="F651" i="1" s="1"/>
  <c r="J648" i="1" a="1"/>
  <c r="J648" i="1" s="1"/>
  <c r="K650" i="1" a="1"/>
  <c r="K650" i="1" s="1"/>
  <c r="H648" i="1" a="1"/>
  <c r="H648" i="1"/>
  <c r="F650" i="1" a="1"/>
  <c r="F650" i="1" s="1"/>
  <c r="G648" i="1" a="1"/>
  <c r="G648" i="1" s="1"/>
  <c r="J663" i="1" a="1"/>
  <c r="J663" i="1"/>
  <c r="I650" i="1" a="1"/>
  <c r="I650" i="1"/>
  <c r="K663" i="1" a="1"/>
  <c r="K663" i="1"/>
  <c r="G650" i="1" a="1"/>
  <c r="G650" i="1"/>
  <c r="I663" i="1" a="1"/>
  <c r="I663" i="1"/>
  <c r="K651" i="1" a="1"/>
  <c r="K651" i="1"/>
  <c r="G651" i="1" a="1"/>
  <c r="G651" i="1"/>
  <c r="H663" i="1" a="1"/>
  <c r="H663" i="1"/>
  <c r="H664" i="1" a="1"/>
  <c r="H664" i="1"/>
  <c r="J662" i="1" a="1"/>
  <c r="J662" i="1" s="1"/>
  <c r="F662" i="1" a="1"/>
  <c r="F662" i="1" s="1"/>
  <c r="I651" i="1" a="1"/>
  <c r="I651" i="1" s="1"/>
  <c r="H651" i="1" a="1"/>
  <c r="H651" i="1" s="1"/>
  <c r="I648" i="1" a="1"/>
  <c r="I648" i="1" s="1"/>
  <c r="J664" i="1" a="1"/>
  <c r="J664" i="1" s="1"/>
  <c r="G664" i="1" a="1"/>
  <c r="G664" i="1" s="1"/>
  <c r="F648" i="1" a="1"/>
  <c r="F648" i="1" s="1"/>
  <c r="K662" i="1" a="1"/>
  <c r="K662" i="1" s="1"/>
  <c r="G663" i="1" a="1"/>
  <c r="G663" i="1"/>
  <c r="J650" i="1" a="1"/>
  <c r="J650" i="1" s="1"/>
  <c r="G662" i="1" a="1"/>
  <c r="G662" i="1"/>
  <c r="K648" i="1" a="1"/>
  <c r="K648" i="1"/>
  <c r="I662" i="1" a="1"/>
  <c r="I662" i="1"/>
  <c r="H662" i="1" a="1"/>
  <c r="H662" i="1"/>
  <c r="J647" i="1" a="1"/>
  <c r="J647" i="1"/>
  <c r="H650" i="1" a="1"/>
  <c r="H650" i="1"/>
  <c r="K647" i="1" a="1"/>
  <c r="K647" i="1"/>
  <c r="J651" i="1" a="1"/>
  <c r="J651" i="1"/>
  <c r="K664" i="1" a="1"/>
  <c r="K664" i="1"/>
  <c r="F664" i="1" a="1"/>
  <c r="F664" i="1" s="1"/>
  <c r="I664" i="1" a="1"/>
  <c r="I664" i="1" s="1"/>
  <c r="F663" i="1" a="1"/>
  <c r="F663" i="1" s="1"/>
  <c r="I638" i="1" a="1"/>
  <c r="I638" i="1" s="1"/>
  <c r="H641" i="1" a="1"/>
  <c r="H641" i="1" s="1"/>
  <c r="I647" i="1" a="1"/>
  <c r="I647" i="1" s="1"/>
  <c r="H647" i="1" a="1"/>
  <c r="H647" i="1" s="1"/>
  <c r="G647" i="1" a="1"/>
  <c r="G647" i="1" s="1"/>
  <c r="I645" i="1" a="1"/>
  <c r="I645" i="1" s="1"/>
  <c r="J643" i="1" a="1"/>
  <c r="J643" i="1" s="1"/>
  <c r="J645" i="1" a="1"/>
  <c r="J645" i="1" s="1"/>
  <c r="F643" i="1" a="1"/>
  <c r="F643" i="1" s="1"/>
  <c r="H645" i="1" a="1"/>
  <c r="H645" i="1"/>
  <c r="K641" i="1" a="1"/>
  <c r="K641" i="1"/>
  <c r="F638" i="1" a="1"/>
  <c r="F638" i="1"/>
  <c r="H637" i="1" a="1"/>
  <c r="H637" i="1"/>
  <c r="K637" i="1" a="1"/>
  <c r="K637" i="1"/>
  <c r="F647" i="1" a="1"/>
  <c r="F647" i="1"/>
  <c r="G646" i="1" a="1"/>
  <c r="G646" i="1"/>
  <c r="F646" i="1" a="1"/>
  <c r="F646" i="1"/>
  <c r="I640" i="1" a="1"/>
  <c r="I640" i="1" s="1"/>
  <c r="J637" i="1" a="1"/>
  <c r="J637" i="1"/>
  <c r="K640" i="1" a="1"/>
  <c r="K640" i="1" s="1"/>
  <c r="I636" i="1" a="1"/>
  <c r="I636" i="1" s="1"/>
  <c r="J646" i="1" a="1"/>
  <c r="J646" i="1" s="1"/>
  <c r="F640" i="1" a="1"/>
  <c r="F640" i="1" s="1"/>
  <c r="H638" i="1" a="1"/>
  <c r="H638" i="1" s="1"/>
  <c r="G637" i="1" a="1"/>
  <c r="G637" i="1" s="1"/>
  <c r="F637" i="1" a="1"/>
  <c r="F637" i="1" s="1"/>
  <c r="K646" i="1" a="1"/>
  <c r="K646" i="1" s="1"/>
  <c r="I646" i="1" a="1"/>
  <c r="I646" i="1" s="1"/>
  <c r="H646" i="1" a="1"/>
  <c r="H646" i="1"/>
  <c r="J641" i="1" a="1"/>
  <c r="J641" i="1" s="1"/>
  <c r="K645" i="1" a="1"/>
  <c r="K645" i="1"/>
  <c r="K636" i="1" a="1"/>
  <c r="K636" i="1"/>
  <c r="F641" i="1" a="1"/>
  <c r="F641" i="1"/>
  <c r="F645" i="1" a="1"/>
  <c r="F645" i="1"/>
  <c r="J636" i="1" a="1"/>
  <c r="J636" i="1"/>
  <c r="I637" i="1" a="1"/>
  <c r="I637" i="1"/>
  <c r="G640" i="1" a="1"/>
  <c r="G640" i="1"/>
  <c r="G645" i="1" a="1"/>
  <c r="G645" i="1" s="1"/>
  <c r="J638" i="1" a="1"/>
  <c r="J638" i="1" s="1"/>
  <c r="H640" i="1" a="1"/>
  <c r="H640" i="1"/>
  <c r="K643" i="1" a="1"/>
  <c r="K643" i="1" s="1"/>
  <c r="H643" i="1" a="1"/>
  <c r="H643" i="1" s="1"/>
  <c r="G643" i="1" a="1"/>
  <c r="G643" i="1" s="1"/>
  <c r="I643" i="1" a="1"/>
  <c r="I643" i="1" s="1"/>
  <c r="G638" i="1" a="1"/>
  <c r="G638" i="1" s="1"/>
  <c r="G641" i="1" a="1"/>
  <c r="G641" i="1" s="1"/>
  <c r="K638" i="1" a="1"/>
  <c r="K638" i="1" s="1"/>
  <c r="I641" i="1" a="1"/>
  <c r="I641" i="1" s="1"/>
  <c r="J640" i="1" a="1"/>
  <c r="J640" i="1"/>
  <c r="K633" i="1" a="1"/>
  <c r="K633" i="1"/>
  <c r="F627" i="1" a="1"/>
  <c r="F627" i="1"/>
  <c r="G633" i="1" a="1"/>
  <c r="G633" i="1"/>
  <c r="J625" i="1" a="1"/>
  <c r="J625" i="1"/>
  <c r="I633" i="1" a="1"/>
  <c r="I633" i="1"/>
  <c r="F628" i="1" a="1"/>
  <c r="F628" i="1"/>
  <c r="I631" i="1" a="1"/>
  <c r="I631" i="1"/>
  <c r="G627" i="1" a="1"/>
  <c r="G627" i="1"/>
  <c r="K628" i="1" a="1"/>
  <c r="K628" i="1" s="1"/>
  <c r="F625" i="1" a="1"/>
  <c r="F625" i="1" s="1"/>
  <c r="J628" i="1" a="1"/>
  <c r="J628" i="1" s="1"/>
  <c r="I628" i="1" a="1"/>
  <c r="I628" i="1"/>
  <c r="G628" i="1" a="1"/>
  <c r="G628" i="1" s="1"/>
  <c r="H627" i="1" a="1"/>
  <c r="H627" i="1" s="1"/>
  <c r="G626" i="1" a="1"/>
  <c r="G626" i="1" s="1"/>
  <c r="G636" i="1" a="1"/>
  <c r="G636" i="1" s="1"/>
  <c r="I625" i="1" a="1"/>
  <c r="I625" i="1" s="1"/>
  <c r="K626" i="1" a="1"/>
  <c r="K626" i="1" s="1"/>
  <c r="J635" i="1" a="1"/>
  <c r="J635" i="1" s="1"/>
  <c r="H635" i="1" a="1"/>
  <c r="H635" i="1"/>
  <c r="H626" i="1" a="1"/>
  <c r="H626" i="1"/>
  <c r="K635" i="1" a="1"/>
  <c r="K635" i="1"/>
  <c r="I635" i="1" a="1"/>
  <c r="I635" i="1" s="1"/>
  <c r="G635" i="1" a="1"/>
  <c r="G635" i="1"/>
  <c r="F626" i="1" a="1"/>
  <c r="F626" i="1"/>
  <c r="G625" i="1" a="1"/>
  <c r="G625" i="1"/>
  <c r="I627" i="1" a="1"/>
  <c r="I627" i="1"/>
  <c r="J633" i="1" a="1"/>
  <c r="J633" i="1"/>
  <c r="H633" i="1" a="1"/>
  <c r="H633" i="1" s="1"/>
  <c r="F633" i="1" a="1"/>
  <c r="F633" i="1" s="1"/>
  <c r="G631" i="1" a="1"/>
  <c r="G631" i="1" s="1"/>
  <c r="K631" i="1" a="1"/>
  <c r="K631" i="1" s="1"/>
  <c r="G630" i="1" a="1"/>
  <c r="G630" i="1"/>
  <c r="H630" i="1" a="1"/>
  <c r="H630" i="1" s="1"/>
  <c r="K627" i="1" a="1"/>
  <c r="K627" i="1" s="1"/>
  <c r="I626" i="1" a="1"/>
  <c r="I626" i="1" s="1"/>
  <c r="H631" i="1" a="1"/>
  <c r="H631" i="1" s="1"/>
  <c r="K630" i="1" a="1"/>
  <c r="K630" i="1" s="1"/>
  <c r="F630" i="1" a="1"/>
  <c r="F630" i="1" s="1"/>
  <c r="J626" i="1" a="1"/>
  <c r="J626" i="1"/>
  <c r="J627" i="1" a="1"/>
  <c r="J627" i="1"/>
  <c r="K625" i="1" a="1"/>
  <c r="K625" i="1" s="1"/>
  <c r="K623" i="1" a="1"/>
  <c r="K623" i="1"/>
  <c r="H628" i="1" a="1"/>
  <c r="H628" i="1" s="1"/>
  <c r="J631" i="1" a="1"/>
  <c r="J631" i="1"/>
  <c r="F631" i="1" a="1"/>
  <c r="F631" i="1"/>
  <c r="J630" i="1" a="1"/>
  <c r="J630" i="1"/>
  <c r="H625" i="1" a="1"/>
  <c r="H625" i="1"/>
  <c r="I630" i="1" a="1"/>
  <c r="I630" i="1" s="1"/>
  <c r="H636" i="1" a="1"/>
  <c r="H636" i="1" s="1"/>
  <c r="F636" i="1" a="1"/>
  <c r="F636" i="1" s="1"/>
  <c r="F635" i="1" a="1"/>
  <c r="F635" i="1" s="1"/>
  <c r="J620" i="1" a="1"/>
  <c r="J620" i="1" s="1"/>
  <c r="H620" i="1" a="1"/>
  <c r="H620" i="1" s="1"/>
  <c r="F620" i="1" a="1"/>
  <c r="F620" i="1" s="1"/>
  <c r="K618" i="1" a="1"/>
  <c r="K618" i="1" s="1"/>
  <c r="I607" i="1" a="1"/>
  <c r="I607" i="1" s="1"/>
  <c r="G617" i="1" a="1"/>
  <c r="G617" i="1" s="1"/>
  <c r="J616" i="1" a="1"/>
  <c r="J616" i="1" s="1"/>
  <c r="F616" i="1" a="1"/>
  <c r="F616" i="1"/>
  <c r="G608" i="1" a="1"/>
  <c r="G608" i="1"/>
  <c r="J623" i="1" a="1"/>
  <c r="J623" i="1"/>
  <c r="G620" i="1" a="1"/>
  <c r="G620" i="1" s="1"/>
  <c r="I615" i="1" a="1"/>
  <c r="I615" i="1"/>
  <c r="J608" i="1" a="1"/>
  <c r="J608" i="1" s="1"/>
  <c r="I621" i="1" a="1"/>
  <c r="I621" i="1"/>
  <c r="F608" i="1" a="1"/>
  <c r="F608" i="1"/>
  <c r="J621" i="1" a="1"/>
  <c r="J621" i="1"/>
  <c r="F615" i="1" a="1"/>
  <c r="F615" i="1" s="1"/>
  <c r="H617" i="1" a="1"/>
  <c r="H617" i="1" s="1"/>
  <c r="I623" i="1" a="1"/>
  <c r="I623" i="1" s="1"/>
  <c r="F618" i="1" a="1"/>
  <c r="F618" i="1" s="1"/>
  <c r="H623" i="1" a="1"/>
  <c r="H623" i="1" s="1"/>
  <c r="H621" i="1" a="1"/>
  <c r="H621" i="1" s="1"/>
  <c r="G618" i="1" a="1"/>
  <c r="G618" i="1"/>
  <c r="G623" i="1" a="1"/>
  <c r="G623" i="1" s="1"/>
  <c r="J607" i="1" a="1"/>
  <c r="J607" i="1"/>
  <c r="I618" i="1" a="1"/>
  <c r="I618" i="1" s="1"/>
  <c r="K607" i="1" a="1"/>
  <c r="K607" i="1" s="1"/>
  <c r="I617" i="1" a="1"/>
  <c r="I617" i="1"/>
  <c r="K615" i="1" a="1"/>
  <c r="K615" i="1"/>
  <c r="H608" i="1" a="1"/>
  <c r="H608" i="1"/>
  <c r="I620" i="1" a="1"/>
  <c r="I620" i="1"/>
  <c r="G615" i="1" a="1"/>
  <c r="G615" i="1"/>
  <c r="F623" i="1" a="1"/>
  <c r="F623" i="1"/>
  <c r="J618" i="1" a="1"/>
  <c r="J618" i="1" s="1"/>
  <c r="F621" i="1" a="1"/>
  <c r="F621" i="1"/>
  <c r="G616" i="1" a="1"/>
  <c r="G616" i="1"/>
  <c r="I608" i="1" a="1"/>
  <c r="I608" i="1" s="1"/>
  <c r="K617" i="1" a="1"/>
  <c r="K617" i="1"/>
  <c r="K621" i="1" a="1"/>
  <c r="K621" i="1" s="1"/>
  <c r="J617" i="1" a="1"/>
  <c r="J617" i="1" s="1"/>
  <c r="G621" i="1" a="1"/>
  <c r="G621" i="1" s="1"/>
  <c r="H618" i="1" a="1"/>
  <c r="H618" i="1"/>
  <c r="F617" i="1" a="1"/>
  <c r="F617" i="1" s="1"/>
  <c r="H615" i="1" a="1"/>
  <c r="H615" i="1"/>
  <c r="K616" i="1" a="1"/>
  <c r="K616" i="1" s="1"/>
  <c r="H616" i="1" a="1"/>
  <c r="H616" i="1" s="1"/>
  <c r="I616" i="1" a="1"/>
  <c r="I616" i="1" s="1"/>
  <c r="J615" i="1" a="1"/>
  <c r="J615" i="1"/>
  <c r="K608" i="1" a="1"/>
  <c r="K608" i="1" s="1"/>
  <c r="K620" i="1" a="1"/>
  <c r="K620" i="1"/>
  <c r="H601" i="1" a="1"/>
  <c r="H601" i="1"/>
  <c r="J600" i="1" a="1"/>
  <c r="J600" i="1"/>
  <c r="F600" i="1" a="1"/>
  <c r="F600" i="1" s="1"/>
  <c r="H593" i="1" a="1"/>
  <c r="H593" i="1"/>
  <c r="F591" i="1" a="1"/>
  <c r="F591" i="1" s="1"/>
  <c r="J590" i="1" a="1"/>
  <c r="J590" i="1"/>
  <c r="H600" i="1" a="1"/>
  <c r="H600" i="1" s="1"/>
  <c r="F604" i="1" a="1"/>
  <c r="F604" i="1" s="1"/>
  <c r="G600" i="1" a="1"/>
  <c r="G600" i="1"/>
  <c r="G591" i="1" a="1"/>
  <c r="G591" i="1" s="1"/>
  <c r="K591" i="1" a="1"/>
  <c r="K591" i="1" s="1"/>
  <c r="K590" i="1" a="1"/>
  <c r="K590" i="1" s="1"/>
  <c r="I593" i="1" a="1"/>
  <c r="I593" i="1" s="1"/>
  <c r="H607" i="1" a="1"/>
  <c r="H607" i="1" s="1"/>
  <c r="G607" i="1" a="1"/>
  <c r="G607" i="1" s="1"/>
  <c r="H594" i="1" a="1"/>
  <c r="H594" i="1" s="1"/>
  <c r="F601" i="1" a="1"/>
  <c r="F601" i="1" s="1"/>
  <c r="I601" i="1" a="1"/>
  <c r="I601" i="1" s="1"/>
  <c r="K594" i="1" a="1"/>
  <c r="K594" i="1"/>
  <c r="F607" i="1" a="1"/>
  <c r="F607" i="1" s="1"/>
  <c r="F593" i="1" a="1"/>
  <c r="F593" i="1"/>
  <c r="K605" i="1" a="1"/>
  <c r="K605" i="1"/>
  <c r="F590" i="1" a="1"/>
  <c r="F590" i="1"/>
  <c r="J593" i="1" a="1"/>
  <c r="J593" i="1"/>
  <c r="G604" i="1" a="1"/>
  <c r="G604" i="1"/>
  <c r="I600" i="1" a="1"/>
  <c r="I600" i="1" s="1"/>
  <c r="J605" i="1" a="1"/>
  <c r="J605" i="1" s="1"/>
  <c r="H605" i="1" a="1"/>
  <c r="H605" i="1"/>
  <c r="I605" i="1" a="1"/>
  <c r="I605" i="1" s="1"/>
  <c r="G605" i="1" a="1"/>
  <c r="G605" i="1" s="1"/>
  <c r="F594" i="1" a="1"/>
  <c r="F594" i="1" s="1"/>
  <c r="G590" i="1" a="1"/>
  <c r="G590" i="1" s="1"/>
  <c r="I590" i="1" a="1"/>
  <c r="I590" i="1" s="1"/>
  <c r="F605" i="1" a="1"/>
  <c r="F605" i="1"/>
  <c r="K600" i="1" a="1"/>
  <c r="K600" i="1" s="1"/>
  <c r="I591" i="1" a="1"/>
  <c r="I591" i="1"/>
  <c r="K593" i="1" a="1"/>
  <c r="K593" i="1" s="1"/>
  <c r="G594" i="1" a="1"/>
  <c r="G594" i="1"/>
  <c r="J591" i="1" a="1"/>
  <c r="J591" i="1" s="1"/>
  <c r="K587" i="1" a="1"/>
  <c r="K587" i="1"/>
  <c r="H590" i="1" a="1"/>
  <c r="H590" i="1" s="1"/>
  <c r="J594" i="1" a="1"/>
  <c r="J594" i="1" s="1"/>
  <c r="K604" i="1" a="1"/>
  <c r="K604" i="1"/>
  <c r="G601" i="1" a="1"/>
  <c r="G601" i="1"/>
  <c r="H604" i="1" a="1"/>
  <c r="H604" i="1"/>
  <c r="G593" i="1" a="1"/>
  <c r="G593" i="1"/>
  <c r="H591" i="1" a="1"/>
  <c r="H591" i="1" s="1"/>
  <c r="K601" i="1" a="1"/>
  <c r="K601" i="1" s="1"/>
  <c r="J601" i="1" a="1"/>
  <c r="J601" i="1"/>
  <c r="J604" i="1" a="1"/>
  <c r="J604" i="1" s="1"/>
  <c r="I594" i="1" a="1"/>
  <c r="I594" i="1"/>
  <c r="I604" i="1" a="1"/>
  <c r="I604" i="1"/>
  <c r="J587" i="1" a="1"/>
  <c r="J587" i="1" s="1"/>
  <c r="H586" i="1" a="1"/>
  <c r="H586" i="1" s="1"/>
  <c r="G587" i="1" a="1"/>
  <c r="G587" i="1"/>
  <c r="G586" i="1" a="1"/>
  <c r="G586" i="1" s="1"/>
  <c r="F586" i="1" a="1"/>
  <c r="F586" i="1" s="1"/>
  <c r="K583" i="1" a="1"/>
  <c r="K583" i="1"/>
  <c r="F583" i="1" a="1"/>
  <c r="F583" i="1"/>
  <c r="H583" i="1" a="1"/>
  <c r="H583" i="1"/>
  <c r="K586" i="1" a="1"/>
  <c r="K586" i="1"/>
  <c r="I582" i="1" a="1"/>
  <c r="I582" i="1" s="1"/>
  <c r="I587" i="1" a="1"/>
  <c r="I587" i="1" s="1"/>
  <c r="F587" i="1" a="1"/>
  <c r="F587" i="1"/>
  <c r="J586" i="1" a="1"/>
  <c r="J586" i="1"/>
  <c r="J583" i="1" a="1"/>
  <c r="J583" i="1" s="1"/>
  <c r="I583" i="1" a="1"/>
  <c r="I583" i="1" s="1"/>
  <c r="K582" i="1" a="1"/>
  <c r="K582" i="1" s="1"/>
  <c r="G582" i="1" a="1"/>
  <c r="G582" i="1" s="1"/>
  <c r="F582" i="1" a="1"/>
  <c r="F582" i="1" s="1"/>
  <c r="H587" i="1" a="1"/>
  <c r="H587" i="1"/>
  <c r="H582" i="1" a="1"/>
  <c r="H582" i="1"/>
  <c r="I586" i="1" a="1"/>
  <c r="I586" i="1" s="1"/>
  <c r="G583" i="1" a="1"/>
  <c r="G583" i="1" s="1"/>
  <c r="J582" i="1" a="1"/>
  <c r="J582" i="1" s="1"/>
  <c r="K19" i="1"/>
  <c r="K18" i="1" s="1"/>
  <c r="J19" i="1"/>
  <c r="J18" i="1" s="1"/>
  <c r="I19" i="1"/>
  <c r="H19" i="1"/>
  <c r="G19" i="1"/>
  <c r="G18" i="1" s="1"/>
  <c r="F19" i="1"/>
  <c r="I18" i="1"/>
  <c r="H18" i="1"/>
  <c r="F18" i="1"/>
  <c r="J282" i="1" a="1"/>
  <c r="J282" i="1"/>
  <c r="J281" i="1" s="1"/>
  <c r="J380" i="1" s="1"/>
  <c r="J511" i="1" s="1"/>
  <c r="I282" i="1" a="1"/>
  <c r="I282" i="1" s="1"/>
  <c r="G273" i="1" a="1"/>
  <c r="G273" i="1" s="1"/>
  <c r="G272" i="1" s="1"/>
  <c r="F282" i="1" a="1"/>
  <c r="F282" i="1" s="1"/>
  <c r="F281" i="1" s="1"/>
  <c r="J273" i="1" a="1"/>
  <c r="J273" i="1" s="1"/>
  <c r="J272" i="1" s="1"/>
  <c r="K240" i="1" a="1"/>
  <c r="K240" i="1" s="1"/>
  <c r="K239" i="1" s="1"/>
  <c r="K314" i="1" s="1"/>
  <c r="K469" i="1" s="1"/>
  <c r="H240" i="1" a="1"/>
  <c r="H240" i="1" s="1"/>
  <c r="H282" i="1" a="1"/>
  <c r="H282" i="1" s="1"/>
  <c r="G282" i="1" a="1"/>
  <c r="G282" i="1" s="1"/>
  <c r="K273" i="1" a="1"/>
  <c r="K273" i="1"/>
  <c r="I240" i="1" a="1"/>
  <c r="I240" i="1"/>
  <c r="I239" i="1" s="1"/>
  <c r="I314" i="1" s="1"/>
  <c r="I469" i="1" s="1"/>
  <c r="H273" i="1" a="1"/>
  <c r="H273" i="1" s="1"/>
  <c r="H272" i="1" s="1"/>
  <c r="H361" i="1" s="1"/>
  <c r="H502" i="1" s="1"/>
  <c r="I273" i="1" a="1"/>
  <c r="I273" i="1"/>
  <c r="I272" i="1" s="1"/>
  <c r="I361" i="1" s="1"/>
  <c r="I502" i="1" s="1"/>
  <c r="J240" i="1" a="1"/>
  <c r="J240" i="1"/>
  <c r="J239" i="1" s="1"/>
  <c r="K282" i="1" a="1"/>
  <c r="K282" i="1"/>
  <c r="K281" i="1" s="1"/>
  <c r="K380" i="1" s="1"/>
  <c r="K511" i="1" s="1"/>
  <c r="F240" i="1" a="1"/>
  <c r="F240" i="1" s="1"/>
  <c r="F273" i="1" a="1"/>
  <c r="F273" i="1" s="1"/>
  <c r="F272" i="1" s="1"/>
  <c r="F361" i="1" s="1"/>
  <c r="F502" i="1" s="1"/>
  <c r="G240" i="1" a="1"/>
  <c r="G240" i="1"/>
  <c r="G239" i="1" s="1"/>
  <c r="G314" i="1" s="1"/>
  <c r="G469" i="1" s="1"/>
  <c r="I139" i="1" a="1"/>
  <c r="I139" i="1"/>
  <c r="H139" i="1" a="1"/>
  <c r="H139" i="1" s="1"/>
  <c r="J139" i="1" a="1"/>
  <c r="J139" i="1" s="1"/>
  <c r="G197" i="1" a="1"/>
  <c r="G197" i="1" s="1"/>
  <c r="G196" i="1" s="1"/>
  <c r="K139" i="1" a="1"/>
  <c r="K139" i="1"/>
  <c r="H197" i="1" a="1"/>
  <c r="H197" i="1" s="1"/>
  <c r="H196" i="1" s="1"/>
  <c r="G139" i="1" a="1"/>
  <c r="G139" i="1" s="1"/>
  <c r="F139" i="1" a="1"/>
  <c r="F139" i="1" s="1"/>
  <c r="J197" i="1" a="1"/>
  <c r="J197" i="1" s="1"/>
  <c r="F197" i="1" a="1"/>
  <c r="F197" i="1" s="1"/>
  <c r="F196" i="1" s="1"/>
  <c r="K197" i="1" a="1"/>
  <c r="K197" i="1" s="1"/>
  <c r="I197" i="1" a="1"/>
  <c r="I197" i="1"/>
  <c r="I196" i="1" s="1"/>
  <c r="I359" i="1" s="1"/>
  <c r="I426" i="1" s="1"/>
  <c r="J138" i="1" a="1"/>
  <c r="J138" i="1" s="1"/>
  <c r="I138" i="1" a="1"/>
  <c r="I138" i="1" s="1"/>
  <c r="K138" i="1" a="1"/>
  <c r="K138" i="1" s="1"/>
  <c r="H138" i="1" a="1"/>
  <c r="H138" i="1"/>
  <c r="G138" i="1" a="1"/>
  <c r="G138" i="1" s="1"/>
  <c r="G137" i="1" a="1"/>
  <c r="G137" i="1" s="1"/>
  <c r="K60" i="1" a="1"/>
  <c r="K60" i="1" s="1"/>
  <c r="F137" i="1" a="1"/>
  <c r="F137" i="1" s="1"/>
  <c r="J136" i="1" a="1"/>
  <c r="J136" i="1"/>
  <c r="H136" i="1" a="1"/>
  <c r="H136" i="1" s="1"/>
  <c r="I137" i="1" a="1"/>
  <c r="I137" i="1" s="1"/>
  <c r="K136" i="1" a="1"/>
  <c r="K136" i="1"/>
  <c r="I60" i="1" a="1"/>
  <c r="I60" i="1"/>
  <c r="I136" i="1" a="1"/>
  <c r="I136" i="1" s="1"/>
  <c r="G136" i="1" a="1"/>
  <c r="G136" i="1"/>
  <c r="J60" i="1" a="1"/>
  <c r="J60" i="1" s="1"/>
  <c r="F138" i="1" a="1"/>
  <c r="F138" i="1"/>
  <c r="K137" i="1" a="1"/>
  <c r="K137" i="1" s="1"/>
  <c r="J137" i="1" a="1"/>
  <c r="J137" i="1" s="1"/>
  <c r="F136" i="1" a="1"/>
  <c r="F136" i="1"/>
  <c r="J53" i="1" a="1"/>
  <c r="J53" i="1" s="1"/>
  <c r="F59" i="1" a="1"/>
  <c r="F59" i="1" s="1"/>
  <c r="H57" i="1" a="1"/>
  <c r="H57" i="1" s="1"/>
  <c r="H51" i="1" a="1"/>
  <c r="H51" i="1"/>
  <c r="J51" i="1" a="1"/>
  <c r="J51" i="1" s="1"/>
  <c r="K59" i="1" a="1"/>
  <c r="K59" i="1"/>
  <c r="H59" i="1" a="1"/>
  <c r="H59" i="1" s="1"/>
  <c r="K52" i="1" a="1"/>
  <c r="K52" i="1" s="1"/>
  <c r="K58" i="1" a="1"/>
  <c r="K58" i="1" s="1"/>
  <c r="I58" i="1" a="1"/>
  <c r="I58" i="1" s="1"/>
  <c r="I50" i="1" a="1"/>
  <c r="I50" i="1" s="1"/>
  <c r="J50" i="1" a="1"/>
  <c r="J50" i="1"/>
  <c r="I52" i="1" a="1"/>
  <c r="I52" i="1"/>
  <c r="H53" i="1" a="1"/>
  <c r="H53" i="1" s="1"/>
  <c r="F52" i="1" a="1"/>
  <c r="F52" i="1" s="1"/>
  <c r="G51" i="1" a="1"/>
  <c r="G51" i="1" s="1"/>
  <c r="H52" i="1" a="1"/>
  <c r="H52" i="1"/>
  <c r="F51" i="1" a="1"/>
  <c r="F51" i="1" s="1"/>
  <c r="G52" i="1" a="1"/>
  <c r="G52" i="1" s="1"/>
  <c r="G50" i="1" a="1"/>
  <c r="G50" i="1" s="1"/>
  <c r="J57" i="1" a="1"/>
  <c r="J57" i="1"/>
  <c r="F57" i="1" a="1"/>
  <c r="F57" i="1" s="1"/>
  <c r="F53" i="1" a="1"/>
  <c r="F53" i="1" s="1"/>
  <c r="K51" i="1" a="1"/>
  <c r="K51" i="1" s="1"/>
  <c r="H60" i="1" a="1"/>
  <c r="H60" i="1" s="1"/>
  <c r="G60" i="1" a="1"/>
  <c r="G60" i="1"/>
  <c r="F60" i="1" a="1"/>
  <c r="F60" i="1" s="1"/>
  <c r="J59" i="1" a="1"/>
  <c r="J59" i="1" s="1"/>
  <c r="K50" i="1" a="1"/>
  <c r="K50" i="1" s="1"/>
  <c r="J58" i="1" a="1"/>
  <c r="J58" i="1" s="1"/>
  <c r="I59" i="1" a="1"/>
  <c r="I59" i="1" s="1"/>
  <c r="G59" i="1" a="1"/>
  <c r="G59" i="1" s="1"/>
  <c r="H58" i="1" a="1"/>
  <c r="H58" i="1"/>
  <c r="G53" i="1" a="1"/>
  <c r="G53" i="1"/>
  <c r="F50" i="1" a="1"/>
  <c r="F50" i="1" s="1"/>
  <c r="F58" i="1" a="1"/>
  <c r="F58" i="1"/>
  <c r="G58" i="1" a="1"/>
  <c r="G58" i="1" s="1"/>
  <c r="K57" i="1" a="1"/>
  <c r="K57" i="1"/>
  <c r="G57" i="1" a="1"/>
  <c r="G57" i="1" s="1"/>
  <c r="I53" i="1" a="1"/>
  <c r="I53" i="1" s="1"/>
  <c r="I51" i="1" a="1"/>
  <c r="I51" i="1" s="1"/>
  <c r="H50" i="1" a="1"/>
  <c r="H50" i="1"/>
  <c r="J52" i="1" a="1"/>
  <c r="J52" i="1" s="1"/>
  <c r="I57" i="1" a="1"/>
  <c r="I57" i="1" s="1"/>
  <c r="K53" i="1" a="1"/>
  <c r="K53" i="1" s="1"/>
  <c r="H14" i="1" a="1"/>
  <c r="H14" i="1" s="1"/>
  <c r="H13" i="1" a="1"/>
  <c r="H13" i="1" s="1"/>
  <c r="G14" i="1" a="1"/>
  <c r="G14" i="1" s="1"/>
  <c r="G13" i="1" a="1"/>
  <c r="G13" i="1" s="1"/>
  <c r="F15" i="1" a="1"/>
  <c r="F15" i="1" s="1"/>
  <c r="K13" i="1" a="1"/>
  <c r="K13" i="1" s="1"/>
  <c r="J15" i="1" a="1"/>
  <c r="J15" i="1" s="1"/>
  <c r="K14" i="1" a="1"/>
  <c r="K14" i="1" s="1"/>
  <c r="I13" i="1" a="1"/>
  <c r="I13" i="1"/>
  <c r="F13" i="1" a="1"/>
  <c r="F13" i="1" s="1"/>
  <c r="H15" i="1" a="1"/>
  <c r="H15" i="1" s="1"/>
  <c r="F14" i="1" a="1"/>
  <c r="F14" i="1" s="1"/>
  <c r="G15" i="1" a="1"/>
  <c r="G15" i="1" s="1"/>
  <c r="J14" i="1" a="1"/>
  <c r="J14" i="1" s="1"/>
  <c r="I14" i="1" a="1"/>
  <c r="I14" i="1" s="1"/>
  <c r="I15" i="1" a="1"/>
  <c r="I15" i="1" s="1"/>
  <c r="K15" i="1" a="1"/>
  <c r="K15" i="1" s="1"/>
  <c r="J13" i="1" a="1"/>
  <c r="J13" i="1"/>
  <c r="K54" i="1" a="1"/>
  <c r="K54" i="1" s="1"/>
  <c r="J54" i="1" a="1"/>
  <c r="J54" i="1" s="1"/>
  <c r="I54" i="1" a="1"/>
  <c r="I54" i="1"/>
  <c r="F54" i="1" a="1"/>
  <c r="F54" i="1"/>
  <c r="H54" i="1" a="1"/>
  <c r="H54" i="1" s="1"/>
  <c r="G54" i="1" a="1"/>
  <c r="G54" i="1"/>
  <c r="F43" i="1" a="1"/>
  <c r="F43" i="1" s="1"/>
  <c r="H41" i="1" a="1"/>
  <c r="H41" i="1" s="1"/>
  <c r="K48" i="1" a="1"/>
  <c r="K48" i="1" s="1"/>
  <c r="J42" i="1" a="1"/>
  <c r="J42" i="1" s="1"/>
  <c r="J41" i="1" a="1"/>
  <c r="J41" i="1" s="1"/>
  <c r="K41" i="1" a="1"/>
  <c r="K41" i="1" s="1"/>
  <c r="F41" i="1" a="1"/>
  <c r="F41" i="1" s="1"/>
  <c r="J48" i="1" a="1"/>
  <c r="J48" i="1" s="1"/>
  <c r="G42" i="1" a="1"/>
  <c r="G42" i="1" s="1"/>
  <c r="K42" i="1" a="1"/>
  <c r="K42" i="1" s="1"/>
  <c r="I43" i="1" a="1"/>
  <c r="I43" i="1" s="1"/>
  <c r="I48" i="1" a="1"/>
  <c r="I48" i="1" s="1"/>
  <c r="H48" i="1" a="1"/>
  <c r="H48" i="1" s="1"/>
  <c r="G48" i="1" a="1"/>
  <c r="G48" i="1" s="1"/>
  <c r="F48" i="1" a="1"/>
  <c r="F48" i="1"/>
  <c r="I41" i="1" a="1"/>
  <c r="I41" i="1" s="1"/>
  <c r="H43" i="1" a="1"/>
  <c r="H43" i="1"/>
  <c r="F42" i="1" a="1"/>
  <c r="F42" i="1"/>
  <c r="K43" i="1" a="1"/>
  <c r="K43" i="1" s="1"/>
  <c r="H42" i="1" a="1"/>
  <c r="H42" i="1" s="1"/>
  <c r="G43" i="1" a="1"/>
  <c r="G43" i="1" s="1"/>
  <c r="I42" i="1" a="1"/>
  <c r="I42" i="1" s="1"/>
  <c r="G41" i="1" a="1"/>
  <c r="G41" i="1" s="1"/>
  <c r="J43" i="1" a="1"/>
  <c r="J43" i="1" s="1"/>
  <c r="H28" i="1" a="1"/>
  <c r="H28" i="1" s="1"/>
  <c r="F25" i="1" a="1"/>
  <c r="F25" i="1" s="1"/>
  <c r="K24" i="1" a="1"/>
  <c r="K24" i="1" s="1"/>
  <c r="G28" i="1" a="1"/>
  <c r="G28" i="1" s="1"/>
  <c r="G27" i="1" a="1"/>
  <c r="G27" i="1" s="1"/>
  <c r="G25" i="1" a="1"/>
  <c r="G25" i="1" s="1"/>
  <c r="I25" i="1" a="1"/>
  <c r="I25" i="1" s="1"/>
  <c r="K27" i="1" a="1"/>
  <c r="K27" i="1" s="1"/>
  <c r="J27" i="1" a="1"/>
  <c r="J27" i="1" s="1"/>
  <c r="G26" i="1" a="1"/>
  <c r="G26" i="1" s="1"/>
  <c r="F27" i="1" a="1"/>
  <c r="F27" i="1" s="1"/>
  <c r="J24" i="1" a="1"/>
  <c r="J24" i="1" s="1"/>
  <c r="K26" i="1" a="1"/>
  <c r="K26" i="1" s="1"/>
  <c r="J26" i="1" a="1"/>
  <c r="J26" i="1"/>
  <c r="H26" i="1" a="1"/>
  <c r="H26" i="1"/>
  <c r="F26" i="1" a="1"/>
  <c r="F26" i="1" s="1"/>
  <c r="I27" i="1" a="1"/>
  <c r="I27" i="1" s="1"/>
  <c r="I26" i="1" a="1"/>
  <c r="I26" i="1" s="1"/>
  <c r="H25" i="1" a="1"/>
  <c r="H25" i="1" s="1"/>
  <c r="K25" i="1" a="1"/>
  <c r="K25" i="1" s="1"/>
  <c r="H24" i="1" a="1"/>
  <c r="H24" i="1" s="1"/>
  <c r="I28" i="1" a="1"/>
  <c r="I28" i="1" s="1"/>
  <c r="H27" i="1" a="1"/>
  <c r="H27" i="1"/>
  <c r="K28" i="1" a="1"/>
  <c r="K28" i="1" s="1"/>
  <c r="J28" i="1" a="1"/>
  <c r="J28" i="1" s="1"/>
  <c r="F28" i="1" a="1"/>
  <c r="F28" i="1" s="1"/>
  <c r="I24" i="1" a="1"/>
  <c r="I24" i="1"/>
  <c r="J25" i="1" a="1"/>
  <c r="J25" i="1" s="1"/>
  <c r="K11" i="1" a="1"/>
  <c r="K11" i="1"/>
  <c r="J11" i="1" a="1"/>
  <c r="J11" i="1"/>
  <c r="G11" i="1" a="1"/>
  <c r="G11" i="1" s="1"/>
  <c r="F16" i="1" a="1"/>
  <c r="F16" i="1" s="1"/>
  <c r="H11" i="1" a="1"/>
  <c r="H11" i="1" s="1"/>
  <c r="G24" i="1" a="1"/>
  <c r="G24" i="1" s="1"/>
  <c r="H16" i="1" a="1"/>
  <c r="H16" i="1"/>
  <c r="F17" i="1" a="1"/>
  <c r="F17" i="1"/>
  <c r="K16" i="1" a="1"/>
  <c r="K16" i="1"/>
  <c r="J17" i="1" a="1"/>
  <c r="J17" i="1"/>
  <c r="I17" i="1" a="1"/>
  <c r="I17" i="1"/>
  <c r="K21" i="1" a="1"/>
  <c r="K21" i="1" s="1"/>
  <c r="G21" i="1" a="1"/>
  <c r="G21" i="1" s="1"/>
  <c r="H17" i="1" a="1"/>
  <c r="H17" i="1" s="1"/>
  <c r="G17" i="1" a="1"/>
  <c r="G17" i="1" s="1"/>
  <c r="G16" i="1" a="1"/>
  <c r="G16" i="1"/>
  <c r="J16" i="1" a="1"/>
  <c r="J16" i="1" s="1"/>
  <c r="F24" i="1" a="1"/>
  <c r="F24" i="1" s="1"/>
  <c r="I11" i="1" a="1"/>
  <c r="I11" i="1"/>
  <c r="J21" i="1" a="1"/>
  <c r="J21" i="1"/>
  <c r="I21" i="1" a="1"/>
  <c r="I21" i="1" s="1"/>
  <c r="K17" i="1" a="1"/>
  <c r="K17" i="1"/>
  <c r="H21" i="1" a="1"/>
  <c r="H21" i="1" s="1"/>
  <c r="F21" i="1" a="1"/>
  <c r="F21" i="1" s="1"/>
  <c r="I16" i="1" a="1"/>
  <c r="I16" i="1" s="1"/>
  <c r="F4" i="1" a="1"/>
  <c r="F4" i="1" s="1"/>
  <c r="F11" i="1" a="1"/>
  <c r="F11" i="1" s="1"/>
  <c r="K9" i="1" a="1"/>
  <c r="K9" i="1"/>
  <c r="H5" i="1" a="1"/>
  <c r="H5" i="1"/>
  <c r="G6" i="1" a="1"/>
  <c r="G6" i="1"/>
  <c r="I9" i="1" a="1"/>
  <c r="I9" i="1"/>
  <c r="K10" i="1" a="1"/>
  <c r="K10" i="1"/>
  <c r="J10" i="1" a="1"/>
  <c r="J10" i="1"/>
  <c r="I10" i="1" a="1"/>
  <c r="I10" i="1" s="1"/>
  <c r="H10" i="1" a="1"/>
  <c r="H10" i="1" s="1"/>
  <c r="G10" i="1" a="1"/>
  <c r="G10" i="1" s="1"/>
  <c r="F10" i="1" a="1"/>
  <c r="F10" i="1"/>
  <c r="F9" i="1" a="1"/>
  <c r="F9" i="1" s="1"/>
  <c r="J9" i="1" a="1"/>
  <c r="J9" i="1" s="1"/>
  <c r="G4" i="1" a="1"/>
  <c r="G4" i="1"/>
  <c r="F7" i="1" a="1"/>
  <c r="F7" i="1"/>
  <c r="H9" i="1" a="1"/>
  <c r="H9" i="1"/>
  <c r="G9" i="1" a="1"/>
  <c r="G9" i="1"/>
  <c r="K7" i="1" a="1"/>
  <c r="K7" i="1" s="1"/>
  <c r="J7" i="1" a="1"/>
  <c r="J7" i="1" s="1"/>
  <c r="I7" i="1" a="1"/>
  <c r="I7" i="1" s="1"/>
  <c r="F6" i="1" a="1"/>
  <c r="F6" i="1" s="1"/>
  <c r="H7" i="1" a="1"/>
  <c r="H7" i="1" s="1"/>
  <c r="G5" i="1" a="1"/>
  <c r="G5" i="1"/>
  <c r="I4" i="1" a="1"/>
  <c r="I4" i="1"/>
  <c r="G7" i="1" a="1"/>
  <c r="G7" i="1"/>
  <c r="I5" i="1" a="1"/>
  <c r="I5" i="1"/>
  <c r="K6" i="1" a="1"/>
  <c r="K6" i="1"/>
  <c r="J5" i="1" a="1"/>
  <c r="J5" i="1" s="1"/>
  <c r="H6" i="1" a="1"/>
  <c r="H6" i="1"/>
  <c r="F5" i="1" a="1"/>
  <c r="F5" i="1" s="1"/>
  <c r="J4" i="1" a="1"/>
  <c r="J4" i="1" s="1"/>
  <c r="J6" i="1" a="1"/>
  <c r="J6" i="1"/>
  <c r="I6" i="1" a="1"/>
  <c r="I6" i="1" s="1"/>
  <c r="K5" i="1" a="1"/>
  <c r="K5" i="1" s="1"/>
  <c r="K4" i="1" a="1"/>
  <c r="K4" i="1"/>
  <c r="H4" i="1" a="1"/>
  <c r="H4" i="1"/>
  <c r="B4" i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3" i="1"/>
  <c r="K196" i="1" l="1"/>
  <c r="K360" i="1"/>
  <c r="K427" i="1" s="1"/>
  <c r="J196" i="1"/>
  <c r="J359" i="1" s="1"/>
  <c r="J426" i="1" s="1"/>
  <c r="J360" i="1"/>
  <c r="J427" i="1" s="1"/>
  <c r="F360" i="1"/>
  <c r="F427" i="1" s="1"/>
  <c r="G381" i="1"/>
  <c r="G512" i="1" s="1"/>
  <c r="G281" i="1"/>
  <c r="H360" i="1"/>
  <c r="H427" i="1" s="1"/>
  <c r="H381" i="1"/>
  <c r="H512" i="1" s="1"/>
  <c r="H281" i="1"/>
  <c r="H380" i="1" s="1"/>
  <c r="H511" i="1" s="1"/>
  <c r="I381" i="1"/>
  <c r="I512" i="1" s="1"/>
  <c r="I281" i="1"/>
  <c r="G740" i="1" a="1"/>
  <c r="G740" i="1" s="1"/>
  <c r="G742" i="1" s="1" a="1"/>
  <c r="G742" i="1" s="1"/>
  <c r="G724" i="1" a="1"/>
  <c r="G724" i="1" s="1"/>
  <c r="G726" i="1" s="1" a="1"/>
  <c r="G726" i="1" s="1"/>
  <c r="F298" i="1"/>
  <c r="F411" i="1" s="1"/>
  <c r="F315" i="1"/>
  <c r="F470" i="1" s="1"/>
  <c r="J123" i="1"/>
  <c r="G383" i="1"/>
  <c r="G514" i="1" s="1"/>
  <c r="H740" i="1" a="1"/>
  <c r="H740" i="1" s="1"/>
  <c r="H742" i="1" s="1" a="1"/>
  <c r="H742" i="1" s="1"/>
  <c r="H724" i="1" a="1"/>
  <c r="H724" i="1" s="1"/>
  <c r="H726" i="1" s="1" a="1"/>
  <c r="H726" i="1" s="1"/>
  <c r="F312" i="1"/>
  <c r="F417" i="1" s="1"/>
  <c r="F116" i="1"/>
  <c r="H315" i="1"/>
  <c r="H470" i="1" s="1"/>
  <c r="H119" i="1"/>
  <c r="J318" i="1"/>
  <c r="J473" i="1" s="1"/>
  <c r="J122" i="1"/>
  <c r="F322" i="1"/>
  <c r="F477" i="1" s="1"/>
  <c r="F126" i="1"/>
  <c r="J361" i="1"/>
  <c r="J502" i="1" s="1"/>
  <c r="F380" i="1"/>
  <c r="F511" i="1" s="1"/>
  <c r="G362" i="1"/>
  <c r="I315" i="1"/>
  <c r="I470" i="1" s="1"/>
  <c r="G380" i="1"/>
  <c r="G511" i="1" s="1"/>
  <c r="I923" i="1"/>
  <c r="I922" i="1" s="1"/>
  <c r="I901" i="1"/>
  <c r="H312" i="1"/>
  <c r="H417" i="1" s="1"/>
  <c r="J315" i="1"/>
  <c r="J470" i="1" s="1"/>
  <c r="F362" i="1"/>
  <c r="I380" i="1"/>
  <c r="I511" i="1" s="1"/>
  <c r="J323" i="1"/>
  <c r="J478" i="1" s="1"/>
  <c r="F359" i="1"/>
  <c r="F426" i="1" s="1"/>
  <c r="H362" i="1"/>
  <c r="G359" i="1"/>
  <c r="G426" i="1" s="1"/>
  <c r="I362" i="1"/>
  <c r="F313" i="1"/>
  <c r="F418" i="1" s="1"/>
  <c r="F117" i="1"/>
  <c r="F323" i="1"/>
  <c r="F478" i="1" s="1"/>
  <c r="F127" i="1"/>
  <c r="H359" i="1"/>
  <c r="H426" i="1" s="1"/>
  <c r="J362" i="1"/>
  <c r="F381" i="1"/>
  <c r="F512" i="1" s="1"/>
  <c r="I316" i="1"/>
  <c r="I471" i="1" s="1"/>
  <c r="G900" i="1"/>
  <c r="J784" i="1"/>
  <c r="J785" i="1" s="1"/>
  <c r="J781" i="1"/>
  <c r="K316" i="1"/>
  <c r="K471" i="1" s="1"/>
  <c r="I323" i="1"/>
  <c r="I478" i="1" s="1"/>
  <c r="K359" i="1"/>
  <c r="K426" i="1" s="1"/>
  <c r="G315" i="1"/>
  <c r="G470" i="1" s="1"/>
  <c r="I897" i="1"/>
  <c r="K362" i="1"/>
  <c r="K272" i="1"/>
  <c r="K361" i="1" s="1"/>
  <c r="K502" i="1" s="1"/>
  <c r="J117" i="1"/>
  <c r="J313" i="1"/>
  <c r="J418" i="1" s="1"/>
  <c r="H124" i="1"/>
  <c r="H320" i="1"/>
  <c r="H475" i="1" s="1"/>
  <c r="F724" i="1" a="1"/>
  <c r="F724" i="1" s="1"/>
  <c r="F726" i="1" s="1" a="1"/>
  <c r="F726" i="1" s="1"/>
  <c r="G317" i="1"/>
  <c r="G472" i="1" s="1"/>
  <c r="K323" i="1"/>
  <c r="K478" i="1" s="1"/>
  <c r="G360" i="1"/>
  <c r="G427" i="1" s="1"/>
  <c r="K381" i="1"/>
  <c r="K512" i="1" s="1"/>
  <c r="I740" i="1" a="1"/>
  <c r="I740" i="1" s="1"/>
  <c r="I742" i="1" s="1" a="1"/>
  <c r="I742" i="1" s="1"/>
  <c r="I724" i="1" a="1"/>
  <c r="I724" i="1" s="1"/>
  <c r="I726" i="1" s="1" a="1"/>
  <c r="I726" i="1" s="1"/>
  <c r="F118" i="1"/>
  <c r="F239" i="1"/>
  <c r="F314" i="1"/>
  <c r="F469" i="1" s="1"/>
  <c r="J320" i="1"/>
  <c r="J475" i="1" s="1"/>
  <c r="J124" i="1"/>
  <c r="F317" i="1"/>
  <c r="F472" i="1" s="1"/>
  <c r="G923" i="1"/>
  <c r="G922" i="1" s="1"/>
  <c r="G901" i="1"/>
  <c r="I360" i="1"/>
  <c r="I427" i="1" s="1"/>
  <c r="F740" i="1" a="1"/>
  <c r="F740" i="1" s="1"/>
  <c r="F742" i="1" s="1" a="1"/>
  <c r="F742" i="1" s="1"/>
  <c r="J396" i="1"/>
  <c r="J437" i="1" s="1"/>
  <c r="G361" i="1"/>
  <c r="G502" i="1" s="1"/>
  <c r="F119" i="1"/>
  <c r="I317" i="1"/>
  <c r="I472" i="1" s="1"/>
  <c r="G781" i="1"/>
  <c r="I900" i="1"/>
  <c r="K900" i="1"/>
  <c r="K317" i="1"/>
  <c r="K472" i="1" s="1"/>
  <c r="I781" i="1"/>
  <c r="F901" i="1"/>
  <c r="K740" i="1" a="1"/>
  <c r="K740" i="1" s="1"/>
  <c r="K742" i="1" s="1" a="1"/>
  <c r="K742" i="1" s="1"/>
  <c r="G116" i="1"/>
  <c r="J119" i="1"/>
  <c r="J314" i="1"/>
  <c r="J469" i="1" s="1"/>
  <c r="G318" i="1"/>
  <c r="G473" i="1" s="1"/>
  <c r="K781" i="1"/>
  <c r="J901" i="1"/>
  <c r="F120" i="1"/>
  <c r="G897" i="1"/>
  <c r="K901" i="1"/>
  <c r="H897" i="1"/>
  <c r="H239" i="1"/>
  <c r="H314" i="1" s="1"/>
  <c r="H469" i="1" s="1"/>
  <c r="F893" i="1"/>
  <c r="J322" i="1"/>
  <c r="J477" i="1" s="1"/>
  <c r="J897" i="1"/>
  <c r="H923" i="1"/>
  <c r="H922" i="1" s="1"/>
  <c r="J900" i="1"/>
  <c r="H900" i="1"/>
  <c r="F897" i="1" l="1"/>
  <c r="F900" i="1"/>
  <c r="C2029" i="1" l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I1858" i="1" l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 s="1"/>
  <c r="K2019" i="1"/>
  <c r="F1881" i="1"/>
  <c r="F1880" i="1" s="1"/>
  <c r="K1886" i="1"/>
  <c r="K1881" i="1"/>
  <c r="K1880" i="1" s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F1857" i="1" s="1"/>
  <c r="I1861" i="1"/>
  <c r="G1858" i="1"/>
  <c r="H1858" i="1"/>
  <c r="J1858" i="1"/>
  <c r="K1858" i="1"/>
  <c r="G1864" i="1"/>
  <c r="H1864" i="1"/>
  <c r="I1864" i="1"/>
  <c r="I1857" i="1" s="1"/>
  <c r="J1864" i="1"/>
  <c r="G1861" i="1"/>
  <c r="H1861" i="1"/>
  <c r="J1861" i="1"/>
  <c r="F1825" i="1"/>
  <c r="I1839" i="1"/>
  <c r="K1844" i="1"/>
  <c r="J1839" i="1"/>
  <c r="F1844" i="1"/>
  <c r="G1844" i="1"/>
  <c r="F1839" i="1"/>
  <c r="F1838" i="1" s="1"/>
  <c r="H1844" i="1"/>
  <c r="G1839" i="1"/>
  <c r="I1844" i="1"/>
  <c r="H1839" i="1"/>
  <c r="H1838" i="1" s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K1838" i="1" l="1"/>
  <c r="K1857" i="1"/>
  <c r="G1838" i="1"/>
  <c r="I1880" i="1"/>
  <c r="I1838" i="1"/>
  <c r="G1880" i="1"/>
  <c r="G1857" i="1"/>
  <c r="J1857" i="1"/>
  <c r="H1857" i="1"/>
  <c r="F1819" i="1"/>
  <c r="F1818" i="1" s="1"/>
  <c r="J1838" i="1"/>
  <c r="K1819" i="1"/>
  <c r="K1818" i="1" s="1"/>
  <c r="I1819" i="1"/>
  <c r="J1819" i="1"/>
  <c r="H1819" i="1"/>
  <c r="H1818" i="1" s="1"/>
  <c r="G1819" i="1"/>
  <c r="G1818" i="1" s="1"/>
  <c r="J1818" i="1" l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F1651" i="1" l="1"/>
  <c r="H1651" i="1"/>
  <c r="I1651" i="1"/>
  <c r="G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F1657" i="1" l="1"/>
  <c r="G1657" i="1"/>
  <c r="I1657" i="1"/>
  <c r="H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H1569" i="1" l="1"/>
  <c r="G1569" i="1"/>
  <c r="I1569" i="1"/>
  <c r="G1616" i="1"/>
  <c r="F1616" i="1"/>
  <c r="H1616" i="1"/>
  <c r="I1616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G1554" i="1" l="1"/>
  <c r="I1608" i="1"/>
  <c r="G1601" i="1"/>
  <c r="G1561" i="1"/>
  <c r="F1601" i="1"/>
  <c r="H1561" i="1"/>
  <c r="I1561" i="1"/>
  <c r="F1561" i="1"/>
  <c r="H1608" i="1"/>
  <c r="I1601" i="1"/>
  <c r="F1608" i="1"/>
  <c r="H1554" i="1"/>
  <c r="I1554" i="1"/>
  <c r="G1608" i="1"/>
  <c r="H1601" i="1"/>
  <c r="F1554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510" i="1" l="1"/>
  <c r="H1510" i="1"/>
  <c r="G1510" i="1"/>
  <c r="H1427" i="1"/>
  <c r="F1510" i="1"/>
  <c r="H1413" i="1"/>
  <c r="I1427" i="1"/>
  <c r="I1413" i="1"/>
  <c r="F1413" i="1"/>
  <c r="G1427" i="1"/>
  <c r="G1413" i="1"/>
  <c r="F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29" i="1" l="1"/>
  <c r="H1329" i="1"/>
  <c r="F1329" i="1"/>
  <c r="I1329" i="1"/>
  <c r="F1343" i="1"/>
  <c r="H1343" i="1"/>
  <c r="I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205" i="1" l="1"/>
  <c r="F1205" i="1"/>
  <c r="H1182" i="1"/>
  <c r="I1182" i="1"/>
  <c r="H1205" i="1"/>
  <c r="G1182" i="1"/>
  <c r="G1205" i="1"/>
  <c r="F1182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H1159" i="1" l="1"/>
  <c r="I1159" i="1"/>
  <c r="G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C211" i="1"/>
  <c r="C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K1003" i="1" l="1"/>
  <c r="K1000" i="1" s="1"/>
  <c r="K1005" i="1"/>
  <c r="J1012" i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124" i="1" l="1"/>
  <c r="K1011" i="1"/>
  <c r="J1124" i="1"/>
  <c r="J1004" i="1"/>
  <c r="J1011" i="1"/>
  <c r="K1001" i="1"/>
  <c r="K999" i="1"/>
  <c r="K998" i="1" s="1"/>
  <c r="I1001" i="1"/>
  <c r="J998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K1008" i="1" l="1"/>
  <c r="K1007" i="1" s="1"/>
  <c r="K1010" i="1"/>
  <c r="J1008" i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E710" i="1"/>
  <c r="C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K713" i="1"/>
  <c r="J713" i="1"/>
  <c r="C697" i="1"/>
  <c r="C698" i="1" s="1"/>
  <c r="C699" i="1" s="1"/>
  <c r="C700" i="1" s="1"/>
  <c r="C701" i="1" s="1"/>
  <c r="C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F713" i="1" l="1"/>
  <c r="G713" i="1"/>
  <c r="H713" i="1"/>
  <c r="I713" i="1"/>
  <c r="I730" i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F678" i="1"/>
  <c r="J693" i="1"/>
  <c r="I693" i="1"/>
  <c r="K684" i="1"/>
  <c r="F693" i="1"/>
  <c r="H693" i="1"/>
  <c r="G678" i="1"/>
  <c r="K693" i="1"/>
  <c r="F684" i="1"/>
  <c r="K678" i="1"/>
  <c r="H678" i="1"/>
  <c r="I678" i="1"/>
  <c r="J684" i="1"/>
  <c r="C680" i="1"/>
  <c r="C663" i="1"/>
  <c r="C682" i="1"/>
  <c r="C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K736" i="1" l="1" a="1"/>
  <c r="K736" i="1" s="1"/>
  <c r="K734" i="1" a="1"/>
  <c r="K734" i="1" s="1"/>
  <c r="J736" i="1" a="1"/>
  <c r="J736" i="1" s="1"/>
  <c r="J756" i="1" s="1"/>
  <c r="J734" i="1" a="1"/>
  <c r="J734" i="1" s="1"/>
  <c r="J743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C779" i="1"/>
  <c r="C780" i="1" s="1"/>
  <c r="C781" i="1" s="1"/>
  <c r="C778" i="1"/>
  <c r="J749" i="1"/>
  <c r="J752" i="1"/>
  <c r="J753" i="1"/>
  <c r="J751" i="1"/>
  <c r="J754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K622" i="1" l="1"/>
  <c r="J622" i="1"/>
  <c r="C783" i="1"/>
  <c r="C784" i="1" s="1"/>
  <c r="C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H10" i="4" s="1"/>
  <c r="F588" i="1"/>
  <c r="C10" i="4" l="1"/>
  <c r="G10" i="4"/>
  <c r="F10" i="4"/>
  <c r="E10" i="4"/>
  <c r="D10" i="4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K504" i="1"/>
  <c r="J504" i="1"/>
  <c r="I504" i="1"/>
  <c r="H504" i="1"/>
  <c r="G504" i="1"/>
  <c r="F504" i="1"/>
  <c r="C895" i="1" l="1"/>
  <c r="C896" i="1" s="1"/>
  <c r="C897" i="1" s="1"/>
  <c r="C894" i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C899" i="1"/>
  <c r="C900" i="1" s="1"/>
  <c r="C898" i="1"/>
  <c r="C953" i="1" l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C920" i="1" l="1"/>
  <c r="C921" i="1" s="1"/>
  <c r="C922" i="1" s="1"/>
  <c r="C970" i="1" s="1"/>
  <c r="C971" i="1" s="1"/>
  <c r="C918" i="1"/>
  <c r="C919" i="1" s="1"/>
  <c r="C923" i="1" l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6" i="1" l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C1150" i="1" l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C1156" i="1" l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J892" i="1"/>
  <c r="J898" i="1"/>
  <c r="I892" i="1"/>
  <c r="I898" i="1"/>
  <c r="H892" i="1"/>
  <c r="H898" i="1"/>
  <c r="G892" i="1"/>
  <c r="G898" i="1"/>
  <c r="K892" i="1"/>
  <c r="K898" i="1"/>
  <c r="C1206" i="1" l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C1506" i="1" l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C1753" i="1" l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F890" i="1"/>
  <c r="G890" i="1"/>
  <c r="H890" i="1"/>
  <c r="I890" i="1"/>
  <c r="J890" i="1"/>
  <c r="K890" i="1"/>
  <c r="C1788" i="1" l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C1809" i="1" l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G1041" i="1"/>
  <c r="G1068" i="1" s="1"/>
  <c r="F1041" i="1"/>
  <c r="F1093" i="1" s="1"/>
  <c r="K1093" i="1"/>
  <c r="K1094" i="1"/>
  <c r="K1095" i="1"/>
  <c r="I1094" i="1"/>
  <c r="I1093" i="1"/>
  <c r="I1095" i="1"/>
  <c r="J1093" i="1"/>
  <c r="J1095" i="1"/>
  <c r="J1094" i="1"/>
  <c r="G1095" i="1"/>
  <c r="G1094" i="1"/>
  <c r="G1093" i="1"/>
  <c r="G1045" i="1"/>
  <c r="G1069" i="1"/>
  <c r="H1045" i="1"/>
  <c r="H1069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H1068" i="1" l="1"/>
  <c r="H1095" i="1"/>
  <c r="H1094" i="1"/>
  <c r="H1093" i="1"/>
  <c r="H1067" i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G1568" i="1" l="1"/>
  <c r="G1615" i="1"/>
  <c r="G1426" i="1"/>
  <c r="G1342" i="1"/>
  <c r="G1204" i="1"/>
  <c r="F1568" i="1"/>
  <c r="F1567" i="1" s="1"/>
  <c r="F1566" i="1" s="1"/>
  <c r="F1615" i="1"/>
  <c r="F1426" i="1"/>
  <c r="F1342" i="1"/>
  <c r="F1204" i="1"/>
  <c r="H1568" i="1"/>
  <c r="H1615" i="1"/>
  <c r="H1426" i="1"/>
  <c r="H1342" i="1"/>
  <c r="H1341" i="1" s="1"/>
  <c r="H1340" i="1" s="1"/>
  <c r="H1204" i="1"/>
  <c r="H1203" i="1" s="1"/>
  <c r="H1202" i="1" s="1"/>
  <c r="I1615" i="1"/>
  <c r="I1614" i="1" s="1"/>
  <c r="I1613" i="1" s="1"/>
  <c r="I1568" i="1"/>
  <c r="I1567" i="1" s="1"/>
  <c r="I1566" i="1" s="1"/>
  <c r="I1426" i="1"/>
  <c r="I1425" i="1" s="1"/>
  <c r="I1424" i="1" s="1"/>
  <c r="I1342" i="1"/>
  <c r="I1341" i="1" s="1"/>
  <c r="I1340" i="1" s="1"/>
  <c r="I1204" i="1"/>
  <c r="I1203" i="1" s="1"/>
  <c r="I1202" i="1" s="1"/>
  <c r="G1567" i="1"/>
  <c r="G1566" i="1" s="1"/>
  <c r="G1614" i="1"/>
  <c r="G1613" i="1" s="1"/>
  <c r="G1425" i="1"/>
  <c r="G1424" i="1" s="1"/>
  <c r="G1341" i="1"/>
  <c r="G1340" i="1" s="1"/>
  <c r="G1203" i="1"/>
  <c r="G1202" i="1" s="1"/>
  <c r="F1614" i="1"/>
  <c r="F1613" i="1" s="1"/>
  <c r="F1425" i="1"/>
  <c r="F1424" i="1" s="1"/>
  <c r="F1341" i="1"/>
  <c r="F1340" i="1" s="1"/>
  <c r="F1203" i="1"/>
  <c r="H1567" i="1"/>
  <c r="H1566" i="1" s="1"/>
  <c r="H1614" i="1"/>
  <c r="H1613" i="1" s="1"/>
  <c r="H1425" i="1"/>
  <c r="H1424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615" i="1" l="1"/>
  <c r="J1426" i="1"/>
  <c r="J1342" i="1"/>
  <c r="J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K1426" i="1" s="1"/>
  <c r="J47" i="1"/>
  <c r="K1427" i="1" l="1"/>
  <c r="K1343" i="1"/>
  <c r="K1616" i="1"/>
  <c r="K1205" i="1"/>
  <c r="K1569" i="1"/>
  <c r="K1204" i="1"/>
  <c r="K1615" i="1"/>
  <c r="K1568" i="1"/>
  <c r="K1342" i="1"/>
  <c r="J1616" i="1"/>
  <c r="J1427" i="1"/>
  <c r="J1343" i="1"/>
  <c r="J1205" i="1"/>
  <c r="J1569" i="1"/>
  <c r="J1568" i="1"/>
  <c r="J1567" i="1" s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I1650" i="1" l="1"/>
  <c r="I1600" i="1"/>
  <c r="I1553" i="1"/>
  <c r="I1509" i="1"/>
  <c r="I1158" i="1"/>
  <c r="H1650" i="1"/>
  <c r="H1553" i="1"/>
  <c r="H1600" i="1"/>
  <c r="H1509" i="1"/>
  <c r="H1158" i="1"/>
  <c r="H1157" i="1" s="1"/>
  <c r="H1156" i="1" s="1"/>
  <c r="F1650" i="1"/>
  <c r="F1649" i="1" s="1"/>
  <c r="F1553" i="1"/>
  <c r="F1552" i="1" s="1"/>
  <c r="F1551" i="1" s="1"/>
  <c r="F1600" i="1"/>
  <c r="F1599" i="1" s="1"/>
  <c r="F1598" i="1" s="1"/>
  <c r="F1509" i="1"/>
  <c r="F1508" i="1" s="1"/>
  <c r="F1507" i="1" s="1"/>
  <c r="F1158" i="1"/>
  <c r="F1157" i="1" s="1"/>
  <c r="F1156" i="1" s="1"/>
  <c r="H1656" i="1"/>
  <c r="H1560" i="1"/>
  <c r="H1559" i="1" s="1"/>
  <c r="H1558" i="1" s="1"/>
  <c r="H1607" i="1"/>
  <c r="H1606" i="1" s="1"/>
  <c r="H1605" i="1" s="1"/>
  <c r="H1412" i="1"/>
  <c r="H1411" i="1" s="1"/>
  <c r="H1410" i="1" s="1"/>
  <c r="H1328" i="1"/>
  <c r="H1327" i="1" s="1"/>
  <c r="H1326" i="1" s="1"/>
  <c r="H1181" i="1"/>
  <c r="G1650" i="1"/>
  <c r="G1553" i="1"/>
  <c r="G1600" i="1"/>
  <c r="G1509" i="1"/>
  <c r="G1158" i="1"/>
  <c r="F1656" i="1"/>
  <c r="F1607" i="1"/>
  <c r="F1606" i="1" s="1"/>
  <c r="F1605" i="1" s="1"/>
  <c r="F1560" i="1"/>
  <c r="F1412" i="1"/>
  <c r="F1328" i="1"/>
  <c r="F1181" i="1"/>
  <c r="F1180" i="1" s="1"/>
  <c r="F1179" i="1" s="1"/>
  <c r="G1656" i="1"/>
  <c r="G1607" i="1"/>
  <c r="G1606" i="1" s="1"/>
  <c r="G1605" i="1" s="1"/>
  <c r="G1560" i="1"/>
  <c r="G1559" i="1" s="1"/>
  <c r="G1558" i="1" s="1"/>
  <c r="G1412" i="1"/>
  <c r="G1411" i="1" s="1"/>
  <c r="G1410" i="1" s="1"/>
  <c r="G1328" i="1"/>
  <c r="G1327" i="1" s="1"/>
  <c r="G1326" i="1" s="1"/>
  <c r="G1181" i="1"/>
  <c r="I1656" i="1"/>
  <c r="I1560" i="1"/>
  <c r="I1559" i="1" s="1"/>
  <c r="I1558" i="1" s="1"/>
  <c r="I1607" i="1"/>
  <c r="I1412" i="1"/>
  <c r="I1328" i="1"/>
  <c r="I1181" i="1"/>
  <c r="H1180" i="1"/>
  <c r="H1179" i="1" s="1"/>
  <c r="G1180" i="1"/>
  <c r="G1179" i="1" s="1"/>
  <c r="F1559" i="1"/>
  <c r="F1558" i="1" s="1"/>
  <c r="F1411" i="1"/>
  <c r="F1410" i="1" s="1"/>
  <c r="F1327" i="1"/>
  <c r="F1326" i="1" s="1"/>
  <c r="I1649" i="1"/>
  <c r="I1508" i="1"/>
  <c r="I1507" i="1" s="1"/>
  <c r="I1552" i="1"/>
  <c r="I1551" i="1" s="1"/>
  <c r="I1599" i="1"/>
  <c r="I1598" i="1" s="1"/>
  <c r="I1157" i="1"/>
  <c r="I1156" i="1" s="1"/>
  <c r="H1649" i="1"/>
  <c r="H1599" i="1"/>
  <c r="H1598" i="1" s="1"/>
  <c r="H1552" i="1"/>
  <c r="H1551" i="1" s="1"/>
  <c r="H1508" i="1"/>
  <c r="H1507" i="1" s="1"/>
  <c r="G1649" i="1"/>
  <c r="G1157" i="1"/>
  <c r="G1156" i="1" s="1"/>
  <c r="G1552" i="1"/>
  <c r="G1551" i="1" s="1"/>
  <c r="G1599" i="1"/>
  <c r="G1598" i="1" s="1"/>
  <c r="G1508" i="1"/>
  <c r="G1507" i="1" s="1"/>
  <c r="I1606" i="1"/>
  <c r="I1605" i="1" s="1"/>
  <c r="I1411" i="1"/>
  <c r="I1410" i="1" s="1"/>
  <c r="I1327" i="1"/>
  <c r="I1326" i="1" s="1"/>
  <c r="I1180" i="1"/>
  <c r="I1179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39" i="1" l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553" i="1" s="1"/>
  <c r="K37" i="1"/>
  <c r="K1650" i="1" s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J22" i="1"/>
  <c r="I22" i="1"/>
  <c r="H22" i="1"/>
  <c r="J32" i="1"/>
  <c r="J1718" i="1" s="1"/>
  <c r="K32" i="1"/>
  <c r="K1718" i="1" s="1"/>
  <c r="J36" i="1"/>
  <c r="J1328" i="1" s="1"/>
  <c r="K36" i="1"/>
  <c r="J1607" i="1" l="1"/>
  <c r="K1553" i="1"/>
  <c r="J1656" i="1"/>
  <c r="K1182" i="1"/>
  <c r="K1561" i="1"/>
  <c r="K1608" i="1"/>
  <c r="K1329" i="1"/>
  <c r="K1657" i="1"/>
  <c r="K1413" i="1"/>
  <c r="K1600" i="1"/>
  <c r="J1412" i="1"/>
  <c r="K1412" i="1"/>
  <c r="K1601" i="1"/>
  <c r="K1651" i="1"/>
  <c r="K1554" i="1"/>
  <c r="K1510" i="1"/>
  <c r="K1159" i="1"/>
  <c r="J1554" i="1"/>
  <c r="J1601" i="1"/>
  <c r="J1651" i="1"/>
  <c r="J1510" i="1"/>
  <c r="J1159" i="1"/>
  <c r="J1509" i="1"/>
  <c r="J1600" i="1"/>
  <c r="J1650" i="1"/>
  <c r="K1181" i="1"/>
  <c r="K1607" i="1"/>
  <c r="J1329" i="1"/>
  <c r="J1182" i="1"/>
  <c r="J1561" i="1"/>
  <c r="J1608" i="1"/>
  <c r="J1657" i="1"/>
  <c r="J1413" i="1"/>
  <c r="J1158" i="1"/>
  <c r="J1157" i="1" s="1"/>
  <c r="J1156" i="1" s="1"/>
  <c r="K1158" i="1"/>
  <c r="K1560" i="1"/>
  <c r="J1181" i="1"/>
  <c r="J1560" i="1"/>
  <c r="K1328" i="1"/>
  <c r="K1509" i="1"/>
  <c r="K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K1552" i="1"/>
  <c r="K1551" i="1" s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44" i="1"/>
  <c r="A46" i="1" s="1"/>
  <c r="J1648" i="1" l="1"/>
  <c r="J1654" i="1"/>
  <c r="K1654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<sst xmlns="http://schemas.openxmlformats.org/spreadsheetml/2006/main" count="4271" uniqueCount="2180">
  <si>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</si>
  <si>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</si>
  <si>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</si>
  <si>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</si>
  <si>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</si>
  <si>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</si>
  <si>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</si>
  <si>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</si>
  <si>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</si>
  <si>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</si>
  <si>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</si>
  <si>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</si>
  <si>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</si>
  <si>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</si>
  <si>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</si>
  <si>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</si>
  <si>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</si>
  <si>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</si>
  <si>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</si>
  <si>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</si>
  <si>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</si>
  <si>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</si>
  <si>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</si>
  <si>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</si>
  <si>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</si>
  <si>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</si>
  <si>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</si>
  <si>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</si>
  <si>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</si>
  <si>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</si>
  <si>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</si>
  <si>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</si>
  <si>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</si>
  <si>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</si>
  <si>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</si>
  <si>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</si>
  <si>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</si>
  <si>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</si>
  <si>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</si>
  <si>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</si>
  <si>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</si>
  <si>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</si>
  <si>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</si>
  <si>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</si>
  <si>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</si>
  <si>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</si>
  <si>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</si>
  <si>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</si>
  <si>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</si>
  <si>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</si>
  <si>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</si>
  <si>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</si>
  <si>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</si>
  <si>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</si>
  <si>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</si>
  <si>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</si>
  <si>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</si>
  <si>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</si>
  <si>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</si>
  <si>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</si>
  <si>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</si>
  <si>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</si>
  <si>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</si>
  <si>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</si>
  <si>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</si>
  <si>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</si>
  <si>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</si>
  <si>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</si>
  <si>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</si>
  <si>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</si>
  <si>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</si>
  <si>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</si>
  <si>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</si>
  <si>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</si>
  <si>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</si>
  <si>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</si>
  <si>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</si>
  <si>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</si>
  <si>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</si>
  <si>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</si>
  <si>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</si>
  <si>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</si>
  <si>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</si>
  <si>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</si>
  <si>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</si>
  <si>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</si>
  <si>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</si>
  <si>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</si>
  <si>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</si>
  <si>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</si>
  <si>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</si>
  <si>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</si>
  <si>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</si>
  <si>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</si>
  <si>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</si>
  <si>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</si>
  <si>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</si>
  <si>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</si>
  <si>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</si>
  <si>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</si>
  <si>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</si>
  <si>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</si>
  <si>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</si>
  <si>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</si>
  <si>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</si>
  <si>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</si>
  <si>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</si>
  <si>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</si>
  <si>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</si>
  <si>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</si>
  <si>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</si>
  <si>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</si>
  <si>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</si>
  <si>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</si>
  <si>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</si>
  <si>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</si>
  <si>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</si>
  <si>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</si>
  <si>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</si>
  <si>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</si>
  <si>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</si>
  <si>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</si>
  <si>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</si>
  <si>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</si>
  <si>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</si>
  <si>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</si>
  <si>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</si>
  <si>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</si>
  <si>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</si>
  <si>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</si>
  <si>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</si>
  <si>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</si>
  <si>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</si>
  <si>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</si>
  <si>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</si>
  <si>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</si>
  <si>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</si>
  <si>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</si>
  <si>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</si>
  <si>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</si>
  <si>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</si>
  <si>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</si>
  <si>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</si>
  <si>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</si>
  <si>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</si>
  <si>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</si>
  <si>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</si>
  <si>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</si>
  <si>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</si>
  <si>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</si>
  <si>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</si>
  <si>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</si>
  <si>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</si>
  <si>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</si>
  <si>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</si>
  <si>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</si>
  <si>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</si>
  <si>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</si>
  <si>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</si>
  <si>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</si>
  <si>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</si>
  <si>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</si>
  <si>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</si>
  <si>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</si>
  <si>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</si>
  <si>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</si>
  <si>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</si>
  <si>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</si>
  <si>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</si>
  <si>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</si>
  <si>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</si>
  <si>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</si>
  <si>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</si>
  <si>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</si>
  <si>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</si>
  <si>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</si>
  <si>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</si>
  <si>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</si>
  <si>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</si>
  <si>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</si>
  <si>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</si>
  <si>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</si>
  <si>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</si>
  <si>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</si>
  <si>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</si>
  <si>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</si>
  <si>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</si>
  <si>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</si>
  <si>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</si>
  <si>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</si>
  <si>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</si>
  <si>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</si>
  <si>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</si>
  <si>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</si>
  <si>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</si>
  <si>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</si>
  <si>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</si>
  <si>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</si>
  <si>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</si>
  <si>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</si>
  <si>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</si>
  <si>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</si>
  <si>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</si>
  <si>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</si>
  <si>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</si>
  <si>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</si>
  <si>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</si>
  <si>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</si>
  <si>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</si>
  <si>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</si>
  <si>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</si>
  <si>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</si>
  <si>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</si>
  <si>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</si>
  <si>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</si>
  <si>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</si>
  <si>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</si>
  <si>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</si>
  <si>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</si>
  <si>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</si>
  <si>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</si>
  <si>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</si>
  <si>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</si>
  <si>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</si>
  <si>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</si>
  <si>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</si>
  <si>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</si>
  <si>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</si>
  <si>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</si>
  <si>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</si>
  <si>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</si>
  <si>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</si>
  <si>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</si>
  <si>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</si>
  <si>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</si>
  <si>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</si>
  <si>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</si>
  <si>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</si>
  <si>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</si>
  <si>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</si>
  <si>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</si>
  <si>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</si>
  <si>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</si>
  <si>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</si>
  <si>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</si>
  <si>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</si>
  <si>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</si>
  <si>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</si>
  <si>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</si>
  <si>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</si>
  <si>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</si>
  <si>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</si>
  <si>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</si>
  <si>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</si>
  <si>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</si>
  <si>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</si>
  <si>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</si>
  <si>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</si>
  <si>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</si>
  <si>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</si>
  <si>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</si>
  <si>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</si>
  <si>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</si>
  <si>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</si>
  <si>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</si>
  <si>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</si>
  <si>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</si>
  <si>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</si>
  <si>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</si>
  <si>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</si>
  <si>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</si>
  <si>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</si>
  <si>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</si>
  <si>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</si>
  <si>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</si>
  <si>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</si>
  <si>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</si>
  <si>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</si>
  <si>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</si>
  <si>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</si>
  <si>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</si>
  <si>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</si>
  <si>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</si>
  <si>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</si>
  <si>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</si>
  <si>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</si>
  <si>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</si>
  <si>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</si>
  <si>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</si>
  <si>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</si>
  <si>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</si>
  <si>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</si>
  <si>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</si>
  <si>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</si>
  <si>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</si>
  <si>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</si>
  <si>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</si>
  <si>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</si>
  <si>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</si>
  <si>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</si>
  <si>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</si>
  <si>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</si>
  <si>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</si>
  <si>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</si>
  <si>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</si>
  <si>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</si>
  <si>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</si>
  <si>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</si>
  <si>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</si>
  <si>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</si>
  <si>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</si>
  <si>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</si>
  <si>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</si>
  <si>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</si>
  <si>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</si>
  <si>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</si>
  <si>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</si>
  <si>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</si>
  <si>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</si>
  <si>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</si>
  <si>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</si>
  <si>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</si>
  <si>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</si>
  <si>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</si>
  <si>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</si>
  <si>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</si>
  <si>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</si>
  <si>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</si>
  <si>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</si>
  <si>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</si>
  <si>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</si>
  <si>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</si>
  <si>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</si>
  <si>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</si>
  <si>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</si>
  <si>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</si>
  <si>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</si>
  <si>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</si>
  <si>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</si>
  <si>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</si>
  <si>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</si>
  <si>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</si>
  <si>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</si>
  <si>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</si>
  <si>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</si>
  <si>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</si>
  <si>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</si>
  <si>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</si>
  <si>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</si>
  <si>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</si>
  <si>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</si>
  <si>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</si>
  <si>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</si>
  <si>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</si>
  <si>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</si>
  <si>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</si>
  <si>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</si>
  <si>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</si>
  <si>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</si>
  <si>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</si>
  <si>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</si>
  <si>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</si>
  <si>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</si>
  <si>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</si>
  <si>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</si>
  <si>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</si>
  <si>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</si>
  <si>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</si>
  <si>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</si>
  <si>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</si>
  <si>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</si>
  <si>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</si>
  <si>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</si>
  <si>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</si>
  <si>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</si>
  <si>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</si>
  <si>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</si>
  <si>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</si>
  <si>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</si>
  <si>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</si>
  <si>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</si>
  <si>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</si>
  <si>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</si>
  <si>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</si>
  <si>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</si>
  <si>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</si>
  <si>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</si>
  <si>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</si>
  <si>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</si>
  <si>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</si>
  <si>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</si>
  <si>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</si>
  <si>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</si>
  <si>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</si>
  <si>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</si>
  <si>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</si>
  <si>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</si>
  <si>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</si>
  <si>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</si>
  <si>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</si>
  <si>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</si>
  <si>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</si>
  <si>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</si>
  <si>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</si>
  <si>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</si>
  <si>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</si>
  <si>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</si>
  <si>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</si>
  <si>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</si>
  <si>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</si>
  <si>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</si>
  <si>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</si>
  <si>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</si>
  <si>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</si>
  <si>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</si>
  <si>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</si>
  <si>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</si>
  <si>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</si>
  <si>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</si>
  <si>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</si>
  <si>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</si>
  <si>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</si>
  <si>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</si>
  <si>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</si>
  <si>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</si>
  <si>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</si>
  <si>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</si>
  <si>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</si>
  <si>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</si>
  <si>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</si>
  <si>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</si>
  <si>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</si>
  <si>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</si>
  <si>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</si>
  <si>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</si>
  <si>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</si>
  <si>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</si>
  <si>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</si>
  <si>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</si>
  <si>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</si>
  <si>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</si>
  <si>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</si>
  <si>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</si>
  <si>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</si>
  <si>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</si>
  <si>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</si>
  <si>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</si>
  <si>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</si>
  <si>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</si>
  <si>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</si>
  <si>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</si>
  <si>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</si>
  <si>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</si>
  <si>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</si>
  <si>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</si>
  <si>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</si>
  <si>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</si>
  <si>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</si>
  <si>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</si>
  <si>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</si>
  <si>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</si>
  <si>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</si>
  <si>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</si>
  <si>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</si>
  <si>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</si>
  <si>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</si>
  <si>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</si>
  <si>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</si>
  <si>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</si>
  <si>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</si>
  <si>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</si>
  <si>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</si>
  <si>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</si>
  <si>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</si>
  <si>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</si>
  <si>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</si>
  <si>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</si>
  <si>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</si>
  <si>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</si>
  <si>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</si>
  <si>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</si>
  <si>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</si>
  <si>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</si>
  <si>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</si>
  <si>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</si>
  <si>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</si>
  <si>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</si>
  <si>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</si>
  <si>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</si>
  <si>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</si>
  <si>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</si>
  <si>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</si>
  <si>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</si>
  <si>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</si>
  <si>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</si>
  <si>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</si>
  <si>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</si>
  <si>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</si>
  <si>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</si>
  <si>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</si>
  <si>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</si>
  <si>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</si>
  <si>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</si>
  <si>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</si>
  <si>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</si>
  <si>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</si>
  <si>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</si>
  <si>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</si>
  <si>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</si>
  <si>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</si>
  <si>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</si>
  <si>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</si>
  <si>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</si>
  <si>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</si>
  <si>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</si>
  <si>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</si>
  <si>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</si>
  <si>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</si>
  <si>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</si>
  <si>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</si>
  <si>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</si>
  <si>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</si>
  <si>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</si>
  <si>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</si>
  <si>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</si>
  <si>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</si>
  <si>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</si>
  <si>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</si>
  <si>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</si>
  <si>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</si>
  <si>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</si>
  <si>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</si>
  <si>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</si>
  <si>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</si>
  <si>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</si>
  <si>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</si>
  <si>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</si>
  <si>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</si>
  <si>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</si>
  <si>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</si>
  <si>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</si>
  <si>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</si>
  <si>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</si>
  <si>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</si>
  <si>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</si>
  <si>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</si>
  <si>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</si>
  <si>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</si>
  <si>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</si>
  <si>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</si>
  <si>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</si>
  <si>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</si>
  <si>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</si>
  <si>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</si>
  <si>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</si>
  <si>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</si>
  <si>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</si>
  <si>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</si>
  <si>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</si>
  <si>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</si>
  <si>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</si>
  <si>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</si>
  <si>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</si>
  <si>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</si>
  <si>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</si>
  <si>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</si>
  <si>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</si>
  <si>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</si>
  <si>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</si>
  <si>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</si>
  <si>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</si>
  <si>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</si>
  <si>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</si>
  <si>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</si>
  <si>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</si>
  <si>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</si>
  <si>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</si>
  <si>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</si>
  <si>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</si>
  <si>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</si>
  <si>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</si>
  <si>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</si>
  <si>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</si>
  <si>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</si>
  <si>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</si>
  <si>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</si>
  <si>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</si>
  <si>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</si>
  <si>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</si>
  <si>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</si>
  <si>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</si>
  <si>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</si>
  <si>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</si>
  <si>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</si>
  <si>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</si>
  <si>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</si>
  <si>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</si>
  <si>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</si>
  <si>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</si>
  <si>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</si>
  <si>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</si>
  <si>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</si>
  <si>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</si>
  <si>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</si>
  <si>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</si>
  <si>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</si>
  <si>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</si>
  <si>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</si>
  <si>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</si>
  <si>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</si>
  <si>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</si>
  <si>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</si>
  <si>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</si>
  <si>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</si>
  <si>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</si>
  <si>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</si>
  <si>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</si>
  <si>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</si>
  <si>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</si>
  <si>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</si>
  <si>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</si>
  <si>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</si>
  <si>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</si>
  <si>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</si>
  <si>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</si>
  <si>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</si>
  <si>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</si>
  <si>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</si>
  <si>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</si>
  <si>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</si>
  <si>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</si>
  <si>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</si>
  <si>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</si>
  <si>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</si>
  <si>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</si>
  <si>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</si>
  <si>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</si>
  <si>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</si>
  <si>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</si>
  <si>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</si>
  <si>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</si>
  <si>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</si>
  <si>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</si>
  <si>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</si>
  <si>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</si>
  <si>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</si>
  <si>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</si>
  <si>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</si>
  <si>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</si>
  <si>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</si>
  <si>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</si>
  <si>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</si>
  <si>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</si>
  <si>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</si>
  <si>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</si>
  <si>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</si>
  <si>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</si>
  <si>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</si>
  <si>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</si>
  <si>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</si>
  <si>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</si>
  <si>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</si>
  <si>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</si>
  <si>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</si>
  <si>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</si>
  <si>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</si>
  <si>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</si>
  <si>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</si>
  <si>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</si>
  <si>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</si>
  <si>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</si>
  <si>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</si>
  <si>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</si>
  <si>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</si>
  <si>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</si>
  <si>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</si>
  <si>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</si>
  <si>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</si>
  <si>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</si>
  <si>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</si>
  <si>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</si>
  <si>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</si>
  <si>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</si>
  <si>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</si>
  <si>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</si>
  <si>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</si>
  <si>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</si>
  <si>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</si>
  <si>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</si>
  <si>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</si>
  <si>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</si>
  <si>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</si>
  <si>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</si>
  <si>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</si>
  <si>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</si>
  <si>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</si>
  <si>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</si>
  <si>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</si>
  <si>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</si>
  <si>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</si>
  <si>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</si>
  <si>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</si>
  <si>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</si>
  <si>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</si>
  <si>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</si>
  <si>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</si>
  <si>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</si>
  <si>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</si>
  <si>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</si>
  <si>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</si>
  <si>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</si>
  <si>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</si>
  <si>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</si>
  <si>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</si>
  <si>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</si>
  <si>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</si>
  <si>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</si>
  <si>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</si>
  <si>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</si>
  <si>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</si>
  <si>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</si>
  <si>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</si>
  <si>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</si>
  <si>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</si>
  <si>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</si>
  <si>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</si>
  <si>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</si>
  <si>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</si>
  <si>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</si>
  <si>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</si>
  <si>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</si>
  <si>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</si>
  <si>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</si>
  <si>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</si>
  <si>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</si>
  <si>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</si>
  <si>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</si>
  <si>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</si>
  <si>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</si>
  <si>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</si>
  <si>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</si>
  <si>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</si>
  <si>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</si>
  <si>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</si>
  <si>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</si>
  <si>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</si>
  <si>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</si>
  <si>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</si>
  <si>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</si>
  <si>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</si>
  <si>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</si>
  <si>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</si>
  <si>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</si>
  <si>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</si>
  <si>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</si>
  <si>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</si>
  <si>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</si>
  <si>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</si>
  <si>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</si>
  <si>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</si>
  <si>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</si>
  <si>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</si>
  <si>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</si>
  <si>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</si>
  <si>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</si>
  <si>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</si>
  <si>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</si>
  <si>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</si>
  <si>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</si>
  <si>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</si>
  <si>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</si>
  <si>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</si>
  <si>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</si>
  <si>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</si>
  <si>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</si>
  <si>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</si>
  <si>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</si>
  <si>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</si>
  <si>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</si>
  <si>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</si>
  <si>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</si>
  <si>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</si>
  <si>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</si>
  <si>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</si>
  <si>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</si>
  <si>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</si>
  <si>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</si>
  <si>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</si>
  <si>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</si>
  <si>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</si>
  <si>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</si>
  <si>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</si>
  <si>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</si>
  <si>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</si>
  <si>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</si>
  <si>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</si>
  <si>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</si>
  <si>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</si>
  <si>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</si>
  <si>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</si>
  <si>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</si>
  <si>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</si>
  <si>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</si>
  <si>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</si>
  <si>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</si>
  <si>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</si>
  <si>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</si>
  <si>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</si>
  <si>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</si>
  <si>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</si>
  <si>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</si>
  <si>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</si>
  <si>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</si>
  <si>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</si>
  <si>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</si>
  <si>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</si>
  <si>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</si>
  <si>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</si>
  <si>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</si>
  <si>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</si>
  <si>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</si>
  <si>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</si>
  <si>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</si>
  <si>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</si>
  <si>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</si>
  <si>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</si>
  <si>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</si>
  <si>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</si>
  <si>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</si>
  <si>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</si>
  <si>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</si>
  <si>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</si>
  <si>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</si>
  <si>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</si>
  <si>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</si>
  <si>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</si>
  <si>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</si>
  <si>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</si>
  <si>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</si>
  <si>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</si>
  <si>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</si>
  <si>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</si>
  <si>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</si>
  <si>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</si>
  <si>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</si>
  <si>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</si>
  <si>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</si>
  <si>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</si>
  <si>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</si>
  <si>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</si>
  <si>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</si>
  <si>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</si>
  <si>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</si>
  <si>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</si>
  <si>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</si>
  <si>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</si>
  <si>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</si>
  <si>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</si>
  <si>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</si>
  <si>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</si>
  <si>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</si>
  <si>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</si>
  <si>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</si>
  <si>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</si>
  <si>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</si>
  <si>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</si>
  <si>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</si>
  <si>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</si>
  <si>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</si>
  <si>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</si>
  <si>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</si>
  <si>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</si>
  <si>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</si>
  <si>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</si>
  <si>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</si>
  <si>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</si>
  <si>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</si>
  <si>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</si>
  <si>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</si>
  <si>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</si>
  <si>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</si>
  <si>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</si>
  <si>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</si>
  <si>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</si>
  <si>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</si>
  <si>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</si>
  <si>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</si>
  <si>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</si>
  <si>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</si>
  <si>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</si>
  <si>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</si>
  <si>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</si>
  <si>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</si>
  <si>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</si>
  <si>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</si>
  <si>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</si>
  <si>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</si>
  <si>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</si>
  <si>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</si>
  <si>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</si>
  <si>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</si>
  <si>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</si>
  <si>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</si>
  <si>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</si>
  <si>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</si>
  <si>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</si>
  <si>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</si>
  <si>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</si>
  <si>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</si>
  <si>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</si>
  <si>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</si>
  <si>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</si>
  <si>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</si>
  <si>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</si>
  <si>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</si>
  <si>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</si>
  <si>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</si>
  <si>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</si>
  <si>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</si>
  <si>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</si>
  <si>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</si>
  <si>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</si>
  <si>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</si>
  <si>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</si>
  <si>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</si>
  <si>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</si>
  <si>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</si>
  <si>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</si>
  <si>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</si>
  <si>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</si>
  <si>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</si>
  <si>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</si>
  <si>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</si>
  <si>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</si>
  <si>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</si>
  <si>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</si>
  <si>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</si>
  <si>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</si>
  <si>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</si>
  <si>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</si>
  <si>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</si>
  <si>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</si>
  <si>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</si>
  <si>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</si>
  <si>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</si>
  <si>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</si>
  <si>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</si>
  <si>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</si>
  <si>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</si>
  <si>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</si>
  <si>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</si>
  <si>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</si>
  <si>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</si>
  <si>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</si>
  <si>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</si>
  <si>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</si>
  <si>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</si>
  <si>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</si>
  <si>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</si>
  <si>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</si>
  <si>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</si>
  <si>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</si>
  <si>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</si>
  <si>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</si>
  <si>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</si>
  <si>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</si>
  <si>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</si>
  <si>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</si>
  <si>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</si>
  <si>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</si>
  <si>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</si>
  <si>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</si>
  <si>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</si>
  <si>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</si>
  <si>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</si>
  <si>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</si>
  <si>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</si>
  <si>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</si>
  <si>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</si>
  <si>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</si>
  <si>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</si>
  <si>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</si>
  <si>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</si>
  <si>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</si>
  <si>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</si>
  <si>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</si>
  <si>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</si>
  <si>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</si>
  <si>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</si>
  <si>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</si>
  <si>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</si>
  <si>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</si>
  <si>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</si>
  <si>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</si>
  <si>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</si>
  <si>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</si>
  <si>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</si>
  <si>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</si>
  <si>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</si>
  <si>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</si>
  <si>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</si>
  <si>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</si>
  <si>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</si>
  <si>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</si>
  <si>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</si>
  <si>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</si>
  <si>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</si>
  <si>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</si>
  <si>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</si>
  <si>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</si>
  <si>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</si>
  <si>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</si>
  <si>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</si>
  <si>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</si>
  <si>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</si>
  <si>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</si>
  <si>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</si>
  <si>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</si>
  <si>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</si>
  <si>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</si>
  <si>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</si>
  <si>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</si>
  <si>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</si>
  <si>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</si>
  <si>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</si>
  <si>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</si>
  <si>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</si>
  <si>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</si>
  <si>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</si>
  <si>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</si>
  <si>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</si>
  <si>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</si>
  <si>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</si>
  <si>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</si>
  <si>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</si>
  <si>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</si>
  <si>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</si>
  <si>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</si>
  <si>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</si>
  <si>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</si>
  <si>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</si>
  <si>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</si>
  <si>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</si>
  <si>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</si>
  <si>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</si>
  <si>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</si>
  <si>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</si>
  <si>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</si>
  <si>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</si>
  <si>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</si>
  <si>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</si>
  <si>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</si>
  <si>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</si>
  <si>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</si>
  <si>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</si>
  <si>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</si>
  <si>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</si>
  <si>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</si>
  <si>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</si>
  <si>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</si>
  <si>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</si>
  <si>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</si>
  <si>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</si>
  <si>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</si>
  <si>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</si>
  <si>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</si>
  <si>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</si>
  <si>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</si>
  <si>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</si>
  <si>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</si>
  <si>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</si>
  <si>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</si>
  <si>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</si>
  <si>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</si>
  <si>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</si>
  <si>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</si>
  <si>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</si>
  <si>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</si>
  <si>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</si>
  <si>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</si>
  <si>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</si>
  <si>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</si>
  <si>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</si>
  <si>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</si>
  <si>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</si>
  <si>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</si>
  <si>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</si>
  <si>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</si>
  <si>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</si>
  <si>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</si>
  <si>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</si>
  <si>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</si>
  <si>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</si>
  <si>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</si>
  <si>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</si>
  <si>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</si>
  <si>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</si>
  <si>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</si>
  <si>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</si>
  <si>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</si>
  <si>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</si>
  <si>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</si>
  <si>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</si>
  <si>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</si>
  <si>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</si>
  <si>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</si>
  <si>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</si>
  <si>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</si>
  <si>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</si>
  <si>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</si>
  <si>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</si>
  <si>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</si>
  <si>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</si>
  <si>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</si>
  <si>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</si>
  <si>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</si>
  <si>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</si>
  <si>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</si>
  <si>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</si>
  <si>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</si>
  <si>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</si>
  <si>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</si>
  <si>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</si>
  <si>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</si>
  <si>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</si>
  <si>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</si>
  <si>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</si>
  <si>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</si>
  <si>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</si>
  <si>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</si>
  <si>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</si>
  <si>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</si>
  <si>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</si>
  <si>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</si>
  <si>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</si>
  <si>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</si>
  <si>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</si>
  <si>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</si>
  <si>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</si>
  <si>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</si>
  <si>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</si>
  <si>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</si>
  <si>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</si>
  <si>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</si>
  <si>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</si>
  <si>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</si>
  <si>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</si>
  <si>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</si>
  <si>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</si>
  <si>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</si>
  <si>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</si>
  <si>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</si>
  <si>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</si>
  <si>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</si>
  <si>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</si>
  <si>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</si>
  <si>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</si>
  <si>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</si>
  <si>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</si>
  <si>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</si>
  <si>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</si>
  <si>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</si>
  <si>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</si>
  <si>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</si>
  <si>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</si>
  <si>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</si>
  <si>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</si>
  <si>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</si>
  <si>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</si>
  <si>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</si>
  <si>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</si>
  <si>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</si>
  <si>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</si>
  <si>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</si>
  <si>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</si>
  <si>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</si>
  <si>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</si>
  <si>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</si>
  <si>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</si>
  <si>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</si>
  <si>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</si>
  <si>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</si>
  <si>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</si>
  <si>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</si>
  <si>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</si>
  <si>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</si>
  <si>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</si>
  <si>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</si>
  <si>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</si>
  <si>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</si>
  <si>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</si>
  <si>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</si>
  <si>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</si>
  <si>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</si>
  <si>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</si>
  <si>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</si>
  <si>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</si>
  <si>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</si>
  <si>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</si>
  <si>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</si>
  <si>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</si>
  <si>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</si>
  <si>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</si>
  <si>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</si>
  <si>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</si>
  <si>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</si>
  <si>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</si>
  <si>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</si>
  <si>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</si>
  <si>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</si>
  <si>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</si>
  <si>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</si>
  <si>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</si>
  <si>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</si>
  <si>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</si>
  <si>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</si>
  <si>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</si>
  <si>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</si>
  <si>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</si>
  <si>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</si>
  <si>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</si>
  <si>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</si>
  <si>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</si>
  <si>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</si>
  <si>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</si>
  <si>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</si>
  <si>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</si>
  <si>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</si>
  <si>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</si>
  <si>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</si>
  <si>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</si>
  <si>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</si>
  <si>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</si>
  <si>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</si>
  <si>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</si>
  <si>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</si>
  <si>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</si>
  <si>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</si>
  <si>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</si>
  <si>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</si>
  <si>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</si>
  <si>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</si>
  <si>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</si>
  <si>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</si>
  <si>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</si>
  <si>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</si>
  <si>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</si>
  <si>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</si>
  <si>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</si>
  <si>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</si>
  <si>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</si>
  <si>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</si>
  <si>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</si>
  <si>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</si>
  <si>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</si>
  <si>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</si>
  <si>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</si>
  <si>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</si>
  <si>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</si>
  <si>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</si>
  <si>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</si>
  <si>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</si>
  <si>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</si>
  <si>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</si>
  <si>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</si>
  <si>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</si>
  <si>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</si>
  <si>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</si>
  <si>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</si>
  <si>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</si>
  <si>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</si>
  <si>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</si>
  <si>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</si>
  <si>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</si>
  <si>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</si>
  <si>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</si>
  <si>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</si>
  <si>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</si>
  <si>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</si>
  <si>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</si>
  <si>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</si>
  <si>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</si>
  <si>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</si>
  <si>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</si>
  <si>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</si>
  <si>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</si>
  <si>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</si>
  <si>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</si>
  <si>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</si>
  <si>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</si>
  <si>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</si>
  <si>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</si>
  <si>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</si>
  <si>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</si>
  <si>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</si>
  <si>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</si>
  <si>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</si>
  <si>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</si>
  <si>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</si>
  <si>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</si>
  <si>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</si>
  <si>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</si>
  <si>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</si>
  <si>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</si>
  <si>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</si>
  <si>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</si>
  <si>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</si>
  <si>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</si>
  <si>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</si>
  <si>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</si>
  <si>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</si>
  <si>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</si>
  <si>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</si>
  <si>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</si>
  <si>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</si>
  <si>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</si>
  <si>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</si>
  <si>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</si>
  <si>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</si>
  <si>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</si>
  <si>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</si>
  <si>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</si>
  <si>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</si>
  <si>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</si>
  <si>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</si>
  <si>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</si>
  <si>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</si>
  <si>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</si>
  <si>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</si>
  <si>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</si>
  <si>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</si>
  <si>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</si>
  <si>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</si>
  <si>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</si>
  <si>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</si>
  <si>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</si>
  <si>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</si>
  <si>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</si>
  <si>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</si>
  <si>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</si>
  <si>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</si>
  <si>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</si>
  <si>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</si>
  <si>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</si>
  <si>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</si>
  <si>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</si>
  <si>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</si>
  <si>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</si>
  <si>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</si>
  <si>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</si>
  <si>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</si>
  <si>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</si>
  <si>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</si>
  <si>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</si>
  <si>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</si>
  <si>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</si>
  <si>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</si>
  <si>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</si>
  <si>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</si>
  <si>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</si>
  <si>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</si>
  <si>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</si>
  <si>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</si>
  <si>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</si>
  <si>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</si>
  <si>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</si>
  <si>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</si>
  <si>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</si>
  <si>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</si>
  <si>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</si>
  <si>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</si>
  <si>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</si>
  <si>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</si>
  <si>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</si>
  <si>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</si>
  <si>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</si>
  <si>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</si>
  <si>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</si>
  <si>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</si>
  <si>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</si>
  <si>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</si>
  <si>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</si>
  <si>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</si>
  <si>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</si>
  <si>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</si>
  <si>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</si>
  <si>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</si>
  <si>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</si>
  <si>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</si>
  <si>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</si>
  <si>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</si>
  <si>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</si>
  <si>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</si>
  <si>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</si>
  <si>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</si>
  <si>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</si>
  <si>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</si>
  <si>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</si>
  <si>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</si>
  <si>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</si>
  <si>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</si>
  <si>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</si>
  <si>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</si>
  <si>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</si>
  <si>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</si>
  <si>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</si>
  <si>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</si>
  <si>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</si>
  <si>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</si>
  <si>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</si>
  <si>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</si>
  <si>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</si>
  <si>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</si>
  <si>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</si>
  <si>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</si>
  <si>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</si>
  <si>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</si>
  <si>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</si>
  <si>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</si>
  <si>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</si>
  <si>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</si>
  <si>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</si>
  <si>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</si>
  <si>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</si>
  <si>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</si>
  <si>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</si>
  <si>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</si>
  <si>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</si>
  <si>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</si>
  <si>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</si>
  <si>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</si>
  <si>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</si>
  <si>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</si>
  <si>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</si>
  <si>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</si>
  <si>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</si>
  <si>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</si>
  <si>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</si>
  <si>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</si>
  <si>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</si>
  <si>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</si>
  <si>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</si>
  <si>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</si>
  <si>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</si>
  <si>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</si>
  <si>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</si>
  <si>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</si>
  <si>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</si>
  <si>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</si>
  <si>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</si>
  <si>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</si>
  <si>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</si>
  <si>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</si>
  <si>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</si>
  <si>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</si>
  <si>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</si>
  <si>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</si>
  <si>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</si>
  <si>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</si>
  <si>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</si>
  <si>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</si>
  <si>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</si>
  <si>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</si>
  <si>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</si>
  <si>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</si>
  <si>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</si>
  <si>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</si>
  <si>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</si>
  <si>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</si>
  <si>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</si>
  <si>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</si>
  <si>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</si>
  <si>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</si>
  <si>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</si>
  <si>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</si>
  <si>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</si>
  <si>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</si>
  <si>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</si>
  <si>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</si>
  <si>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</si>
  <si>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</si>
  <si>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</si>
  <si>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</si>
  <si>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</si>
  <si>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</si>
  <si>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</si>
  <si>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</si>
  <si>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</si>
  <si>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</si>
  <si>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</si>
  <si>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</si>
  <si>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</si>
  <si>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</si>
  <si>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</si>
  <si>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</si>
  <si>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</si>
  <si>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</si>
  <si>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</si>
  <si>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</si>
  <si>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</si>
  <si>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</si>
  <si>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</si>
  <si>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</si>
  <si>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</si>
  <si>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</si>
  <si>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</si>
  <si>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</si>
  <si>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</si>
  <si>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</si>
  <si>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</si>
  <si>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</si>
  <si>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</si>
  <si>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</si>
  <si>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</si>
  <si>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</si>
  <si>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</si>
  <si>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</si>
  <si>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</si>
  <si>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</si>
  <si>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</si>
  <si>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</si>
  <si>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</si>
  <si>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</si>
  <si>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</si>
  <si>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</si>
  <si>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</si>
  <si>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</si>
  <si>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</si>
  <si>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</si>
  <si>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</si>
  <si>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</si>
  <si>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</si>
  <si>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</si>
  <si>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</si>
  <si>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</si>
  <si>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</si>
  <si>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</si>
  <si>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</si>
  <si>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</si>
  <si>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</si>
  <si>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</si>
  <si>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</si>
  <si>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</si>
  <si>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</si>
  <si>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</si>
  <si>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</si>
  <si>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</si>
  <si>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</si>
  <si>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</si>
  <si>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</si>
  <si>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</si>
  <si>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</si>
  <si>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</si>
  <si>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</si>
  <si>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</si>
  <si>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</si>
  <si>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</si>
  <si>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</si>
  <si>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</si>
  <si>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</si>
  <si>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</si>
  <si>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</si>
  <si>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</si>
  <si>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</si>
  <si>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</si>
  <si>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</si>
  <si>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</si>
  <si>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</si>
  <si>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</si>
  <si>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</si>
  <si>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</si>
  <si>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</si>
  <si>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</si>
  <si>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</si>
  <si>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</si>
  <si>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</si>
  <si>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</si>
  <si>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</si>
  <si>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</si>
  <si>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</si>
  <si>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</si>
  <si>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</si>
  <si>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</si>
  <si>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</si>
  <si>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</si>
  <si>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</si>
  <si>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</si>
  <si>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</si>
  <si>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</si>
  <si>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</si>
  <si>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</si>
  <si>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</si>
  <si>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</si>
  <si>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</si>
  <si>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</si>
  <si>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</si>
  <si>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</si>
  <si>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</si>
  <si>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</si>
  <si>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</si>
  <si>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</si>
  <si>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</si>
  <si>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</si>
  <si>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</si>
  <si>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</si>
  <si>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</si>
  <si>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</si>
  <si>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</si>
  <si>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</si>
  <si>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</si>
  <si>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</si>
  <si>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</si>
  <si>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</si>
  <si>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</si>
  <si>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</si>
  <si>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</si>
  <si>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</si>
  <si>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</si>
  <si>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</si>
  <si>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</si>
  <si>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</si>
  <si>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</si>
  <si>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</si>
  <si>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</si>
  <si>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</si>
  <si>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</si>
  <si>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</si>
  <si>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</si>
  <si>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</si>
  <si>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</si>
  <si>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</si>
  <si>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</si>
  <si>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</si>
  <si>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</si>
  <si>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</si>
  <si>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</si>
  <si>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</si>
  <si>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</si>
  <si>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</si>
  <si>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</si>
  <si>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</si>
  <si>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</si>
  <si>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</si>
  <si>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</si>
  <si>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</si>
  <si>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</si>
  <si>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</si>
  <si>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</si>
  <si>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</si>
  <si>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</si>
  <si>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</si>
  <si>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</si>
  <si>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</si>
  <si>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</si>
  <si>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</si>
  <si>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</si>
  <si>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</si>
  <si>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</si>
  <si>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</si>
  <si>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</si>
  <si>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</si>
  <si>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</si>
  <si>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</si>
  <si>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</si>
  <si>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</si>
  <si>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</si>
  <si>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</si>
  <si>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</si>
  <si>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</si>
  <si>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</si>
  <si>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</si>
  <si>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</si>
  <si>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</si>
  <si>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</si>
  <si>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</si>
  <si>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</si>
  <si>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</si>
  <si>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</si>
  <si>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</si>
  <si>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</si>
  <si>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</si>
  <si>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</si>
  <si>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</si>
  <si>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</si>
  <si>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</si>
  <si>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</si>
  <si>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</si>
  <si>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</si>
  <si>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</si>
  <si>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</si>
  <si>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</si>
  <si>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</si>
  <si>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</si>
  <si>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</si>
  <si>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</si>
  <si>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</si>
  <si>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</si>
  <si>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</si>
  <si>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</si>
  <si>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</si>
  <si>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</si>
  <si>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</si>
  <si>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</si>
  <si>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</si>
  <si>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</si>
  <si>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</si>
  <si>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</si>
  <si>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</si>
  <si>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</si>
  <si>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</si>
  <si>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</si>
  <si>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</si>
  <si>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</si>
  <si>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</si>
  <si>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</si>
  <si>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</si>
  <si>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</si>
  <si>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</si>
  <si>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</si>
  <si>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</si>
  <si>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</si>
  <si>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</si>
  <si>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</si>
  <si>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</si>
  <si>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</si>
  <si>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</si>
  <si>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</si>
  <si>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</si>
  <si>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</si>
  <si>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</si>
  <si>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</si>
  <si>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</si>
  <si>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</si>
  <si>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</si>
  <si>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</si>
  <si>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</si>
  <si>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</si>
  <si>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</si>
  <si>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</si>
  <si>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</si>
  <si>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</si>
  <si>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</si>
  <si>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</si>
  <si>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</si>
  <si>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</si>
  <si>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</si>
  <si>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</si>
  <si>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</si>
  <si>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</si>
  <si>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</si>
  <si>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</si>
  <si>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</si>
  <si>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</si>
  <si>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</si>
  <si>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</si>
  <si>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</si>
  <si>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</si>
  <si>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</si>
  <si>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</si>
  <si>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</si>
  <si>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</si>
  <si>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</si>
  <si>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</si>
  <si>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</si>
  <si>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</si>
  <si>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</si>
  <si>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</si>
  <si>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</si>
  <si>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</si>
  <si>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</si>
  <si>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</si>
  <si>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</si>
  <si>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</si>
  <si>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</si>
  <si>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</si>
  <si>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</si>
  <si>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</si>
  <si>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</si>
  <si>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</si>
  <si>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</si>
  <si>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</si>
  <si>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</si>
  <si>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</si>
  <si>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</si>
  <si>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</si>
  <si>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</si>
  <si>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</si>
  <si>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</si>
  <si>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</si>
  <si>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</si>
  <si>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</si>
  <si>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</si>
  <si>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</si>
  <si>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</si>
  <si>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</si>
  <si>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</si>
  <si>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</si>
  <si>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</si>
  <si>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</si>
  <si>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</si>
  <si>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</si>
  <si>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</si>
  <si>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</si>
  <si>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</si>
  <si>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</si>
  <si>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</si>
  <si>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</si>
  <si>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</si>
  <si>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</si>
  <si>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</si>
  <si>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</si>
  <si>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</si>
  <si>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</si>
  <si>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</si>
  <si>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</si>
  <si>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</si>
  <si>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</si>
  <si>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</si>
  <si>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</si>
  <si>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</si>
  <si>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</si>
  <si>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</si>
  <si>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</si>
  <si>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</si>
  <si>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</si>
  <si>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</si>
  <si>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</si>
  <si>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</si>
  <si>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</si>
  <si>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</si>
  <si>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</si>
  <si>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</si>
  <si>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</si>
  <si>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</si>
  <si>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</si>
  <si>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</si>
  <si>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</si>
  <si>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</si>
  <si>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</si>
  <si>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</si>
  <si>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</si>
  <si>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</si>
  <si>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</si>
  <si>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</si>
  <si>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</si>
  <si>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</si>
  <si>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</si>
  <si>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</si>
  <si>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</si>
  <si>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</si>
  <si>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</si>
  <si>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</si>
  <si>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</si>
  <si>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</si>
  <si>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</si>
  <si>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</si>
  <si>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</si>
  <si>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</si>
  <si>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</si>
  <si>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</si>
  <si>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</si>
  <si>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</si>
  <si>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</si>
  <si>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</si>
  <si>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</si>
  <si>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</si>
  <si>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</si>
  <si>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</si>
  <si>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</si>
  <si>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</si>
  <si>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</si>
  <si>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</si>
  <si>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</si>
  <si>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</si>
  <si>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</si>
  <si>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</si>
  <si>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</si>
  <si>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</si>
  <si>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</si>
  <si>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</si>
  <si>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</si>
  <si>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</si>
  <si>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</si>
  <si>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</si>
  <si>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</si>
  <si>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</si>
  <si>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</si>
  <si>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</si>
  <si>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</si>
  <si>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</si>
  <si>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</si>
  <si>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</si>
  <si>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</si>
  <si>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</si>
  <si>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</si>
  <si>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</si>
  <si>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</si>
  <si>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</si>
  <si>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</si>
  <si>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</si>
  <si>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</si>
  <si>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</si>
  <si>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</si>
  <si>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</si>
  <si>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</si>
  <si>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</si>
  <si>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</si>
  <si>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</si>
  <si>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</si>
  <si>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</si>
  <si>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</si>
  <si>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</si>
  <si>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</si>
  <si>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</si>
  <si>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</si>
  <si>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</si>
  <si>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</si>
  <si>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</si>
  <si>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</si>
  <si>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</si>
  <si>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</si>
  <si>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</si>
  <si>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</si>
  <si>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</si>
  <si>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</si>
  <si>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</si>
  <si>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</si>
  <si>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</si>
  <si>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</si>
  <si>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</si>
  <si>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</si>
  <si>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</si>
  <si>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</si>
  <si>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</si>
  <si>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</si>
  <si>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</si>
  <si>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</si>
  <si>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</si>
  <si>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</si>
  <si>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</si>
  <si>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</si>
  <si>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</si>
  <si>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</si>
  <si>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</si>
  <si>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</si>
  <si>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</si>
  <si>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</si>
  <si>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</si>
  <si>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</si>
  <si>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</si>
  <si>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</si>
  <si>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</si>
  <si>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</si>
  <si>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</si>
  <si>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</si>
  <si>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</si>
  <si>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</si>
  <si>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</si>
  <si>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</si>
  <si>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</si>
  <si>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</si>
  <si>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</si>
  <si>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</si>
  <si>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</si>
  <si>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</si>
  <si>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</si>
  <si>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</si>
  <si>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</si>
  <si>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</si>
  <si>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</si>
  <si>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</si>
  <si>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</si>
  <si>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</si>
  <si>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</si>
  <si>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</si>
  <si>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</si>
  <si>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</si>
  <si>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</si>
  <si>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</si>
  <si>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</si>
  <si>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</si>
  <si>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</si>
  <si>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</si>
  <si>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</si>
  <si>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</si>
  <si>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</si>
  <si>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</si>
  <si>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</si>
  <si>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</si>
  <si>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</si>
  <si>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</si>
  <si>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</si>
  <si>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</si>
  <si>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</si>
  <si>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</si>
  <si>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</si>
  <si>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</si>
  <si>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</si>
  <si>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</si>
  <si>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</si>
  <si>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</si>
  <si>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</si>
  <si>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</si>
  <si>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</si>
  <si>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</si>
  <si>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</si>
  <si>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</si>
  <si>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</si>
  <si>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</si>
  <si>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</si>
  <si>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</si>
  <si>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</si>
  <si>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</si>
  <si>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</si>
  <si>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</si>
  <si>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</si>
  <si>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</si>
  <si>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</si>
  <si>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</si>
  <si>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</si>
  <si>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</si>
  <si>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</si>
  <si>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</si>
  <si>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</si>
  <si>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</si>
  <si>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</si>
  <si>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</si>
  <si>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</si>
  <si>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</si>
  <si>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</si>
  <si>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</si>
  <si>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</si>
  <si>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</si>
  <si>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</si>
  <si>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</si>
  <si>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</si>
  <si>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</si>
  <si>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</si>
  <si>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</si>
  <si>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</si>
  <si>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</si>
  <si>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</si>
  <si>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</si>
  <si>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</si>
  <si>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</si>
  <si>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</si>
  <si>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</si>
  <si>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</si>
  <si>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</si>
  <si>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</si>
  <si>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</si>
  <si>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</si>
  <si>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</si>
  <si>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</si>
  <si>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</si>
  <si>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</si>
  <si>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</si>
  <si>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</si>
  <si>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</si>
  <si>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</si>
  <si>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</si>
  <si>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</si>
  <si>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</si>
  <si>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</si>
  <si>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</si>
  <si>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</si>
  <si>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</si>
  <si>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</si>
  <si>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</si>
  <si>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</si>
  <si>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</si>
  <si>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</si>
  <si>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</si>
  <si>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</si>
  <si>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</si>
  <si>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</si>
  <si>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</si>
  <si>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</si>
  <si>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</si>
  <si>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</si>
  <si>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</si>
  <si>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</si>
  <si>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</si>
  <si>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</si>
  <si>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</si>
  <si>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</si>
  <si>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</si>
  <si>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</si>
  <si>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</si>
  <si>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</si>
  <si>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</si>
  <si>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</si>
  <si>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</si>
  <si>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</si>
  <si>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</si>
  <si>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</si>
  <si>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</si>
  <si>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</si>
  <si>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</si>
  <si>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</si>
  <si>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</si>
  <si>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</si>
  <si>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</si>
  <si>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</si>
  <si>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</si>
  <si>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</si>
  <si>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</si>
  <si>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</si>
  <si>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</si>
  <si>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</si>
  <si>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</si>
  <si>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</si>
  <si>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</si>
  <si>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</si>
  <si>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</si>
  <si>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</si>
  <si>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</si>
  <si>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</si>
  <si>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</si>
  <si>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</si>
  <si>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</si>
  <si>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</si>
  <si>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</si>
  <si>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</si>
  <si>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</si>
  <si>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</si>
  <si>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</si>
  <si>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</si>
  <si>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</si>
  <si>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</si>
  <si>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</si>
  <si>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</si>
  <si>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</si>
  <si>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</si>
  <si>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</si>
  <si>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</si>
  <si>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</si>
  <si>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</si>
  <si>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</si>
  <si>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</si>
  <si>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</si>
  <si>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</si>
  <si>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</si>
  <si>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</si>
  <si>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</si>
  <si>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</si>
  <si>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</si>
  <si>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</si>
  <si>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</si>
  <si>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</si>
  <si>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</si>
  <si>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</si>
  <si>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</si>
  <si>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</si>
  <si>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</si>
  <si>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</si>
  <si>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</si>
  <si>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</si>
  <si>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</si>
  <si>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</si>
  <si>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</si>
  <si>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</si>
  <si>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</si>
  <si>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</si>
  <si>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</si>
  <si>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</si>
  <si>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</si>
  <si>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</si>
  <si>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</si>
  <si>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</si>
  <si>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</si>
  <si>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</si>
  <si>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</si>
  <si>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</si>
  <si>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</si>
  <si>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</si>
  <si>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</si>
  <si>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</si>
  <si>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</si>
  <si>
    <t>SPS2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</si>
</sst>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0" fillId="22" borderId="11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2" borderId="11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P07%20integrated%20modelling/STEM_Results/sps2_secur_bs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UT_StorageDispatch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ystemCostTaxSubsidies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4.0537549860704359E-3</v>
          </cell>
          <cell r="G4">
            <v>6.9580121743362646E-3</v>
          </cell>
          <cell r="H4">
            <v>1.3250256824749496E-2</v>
          </cell>
          <cell r="I4">
            <v>1.4726509923163689</v>
          </cell>
          <cell r="J4">
            <v>2.2089772318366516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4.0537549860704359E-3</v>
          </cell>
          <cell r="G5">
            <v>6.9580121743362646E-3</v>
          </cell>
          <cell r="H5">
            <v>1.3250256824749496E-2</v>
          </cell>
          <cell r="I5">
            <v>1.4726509923163689</v>
          </cell>
          <cell r="J5">
            <v>2.2089772318366516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4.9961798177108299E-4</v>
          </cell>
          <cell r="G6">
            <v>3.1456287248324001E-4</v>
          </cell>
          <cell r="H6">
            <v>6.2364169292567699E-4</v>
          </cell>
          <cell r="I6">
            <v>4.2722915262749399E-2</v>
          </cell>
          <cell r="J6">
            <v>8.5812197331682299E-2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4.9961798177108299E-4</v>
          </cell>
          <cell r="G7">
            <v>8.1418085425432295E-4</v>
          </cell>
          <cell r="H7">
            <v>1.4378225471799999E-3</v>
          </cell>
          <cell r="I7">
            <v>0.17017063664629001</v>
          </cell>
          <cell r="J7">
            <v>0.255982833977972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3.2682098027522617</v>
          </cell>
          <cell r="F8">
            <v>3.8319846410433693</v>
          </cell>
          <cell r="G8">
            <v>0.64592706181768977</v>
          </cell>
          <cell r="H8">
            <v>0.96468478097773214</v>
          </cell>
          <cell r="I8">
            <v>1.1764258164407506</v>
          </cell>
          <cell r="J8">
            <v>1.04900652778113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3.2682098027522617</v>
          </cell>
          <cell r="F9">
            <v>3.8319846410433693</v>
          </cell>
          <cell r="G9">
            <v>0.64592706181768977</v>
          </cell>
          <cell r="H9">
            <v>0.96468478097773214</v>
          </cell>
          <cell r="I9">
            <v>1.1764258164407506</v>
          </cell>
          <cell r="J9">
            <v>1.04900652778113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0.6699651832342044</v>
          </cell>
          <cell r="F10">
            <v>0.21240024145216624</v>
          </cell>
          <cell r="G10">
            <v>5.0201815304793812E-2</v>
          </cell>
          <cell r="H10">
            <v>0.33665523761335664</v>
          </cell>
          <cell r="I10">
            <v>1.7130204754263845</v>
          </cell>
          <cell r="J10">
            <v>0.82671682981531724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2.0850263031425609</v>
          </cell>
          <cell r="F11">
            <v>0.61897422676836178</v>
          </cell>
          <cell r="G11">
            <v>0.13139110194288564</v>
          </cell>
          <cell r="H11">
            <v>0.71450855511122835</v>
          </cell>
          <cell r="I11">
            <v>1.9401808606953228</v>
          </cell>
          <cell r="J11">
            <v>0.91373965400640556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108.419089388911</v>
          </cell>
          <cell r="F12">
            <v>34.064910579210697</v>
          </cell>
          <cell r="G12">
            <v>8.0862568314570993</v>
          </cell>
          <cell r="H12">
            <v>58.011466575470202</v>
          </cell>
          <cell r="I12">
            <v>268.790001557518</v>
          </cell>
          <cell r="J12">
            <v>129.86391442379499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1.9223242799452223</v>
          </cell>
          <cell r="F13">
            <v>0.60398777622713973</v>
          </cell>
          <cell r="G13">
            <v>0.14337334807548044</v>
          </cell>
          <cell r="H13">
            <v>1.0285721024019534</v>
          </cell>
          <cell r="I13">
            <v>4.7657801694595507</v>
          </cell>
          <cell r="J13">
            <v>2.3025516741807657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7.3725816819463705E-7</v>
          </cell>
          <cell r="G14">
            <v>2.66669534331762E-6</v>
          </cell>
          <cell r="H14">
            <v>3.3431258252832899E-2</v>
          </cell>
          <cell r="I14">
            <v>8.1078284497444197E-2</v>
          </cell>
          <cell r="J14">
            <v>9.1745008149102995E-7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2.5376430594404406E-2</v>
          </cell>
          <cell r="F15">
            <v>1.8768728603967097E-2</v>
          </cell>
          <cell r="G15">
            <v>1.1939375246057017E-2</v>
          </cell>
          <cell r="H15">
            <v>3.7057383361055594E-2</v>
          </cell>
          <cell r="I15">
            <v>0.11453391045048855</v>
          </cell>
          <cell r="J15">
            <v>8.9788109956695575E-2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6.7990983711507553</v>
          </cell>
          <cell r="F16">
            <v>5.4311733239977217E-4</v>
          </cell>
          <cell r="G16">
            <v>4.6912429093067822E-4</v>
          </cell>
          <cell r="H16">
            <v>1.829361451253909E-4</v>
          </cell>
          <cell r="I16">
            <v>1.8621506329765045E-4</v>
          </cell>
          <cell r="J16">
            <v>1.3873893121107785E-4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6.7990983711507553</v>
          </cell>
          <cell r="F17">
            <v>5.4311733239977217E-4</v>
          </cell>
          <cell r="G17">
            <v>4.6912429093067822E-4</v>
          </cell>
          <cell r="H17">
            <v>1.829361451253909E-4</v>
          </cell>
          <cell r="I17">
            <v>1.8621506329765045E-4</v>
          </cell>
          <cell r="J17">
            <v>1.3873893121107785E-4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1.72760711197352E-6</v>
          </cell>
          <cell r="F18">
            <v>1.5955727236868801E-6</v>
          </cell>
          <cell r="G18">
            <v>2.2522602518316402E-6</v>
          </cell>
          <cell r="H18">
            <v>2.66939360052908E-6</v>
          </cell>
          <cell r="I18">
            <v>1.9892197500391302E-6</v>
          </cell>
          <cell r="J18">
            <v>3.7813447308514002E-6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1.4623824167085291</v>
          </cell>
          <cell r="F19">
            <v>5.6490578691992255E-4</v>
          </cell>
          <cell r="G19">
            <v>5.4475773578999132E-4</v>
          </cell>
          <cell r="H19">
            <v>4.9004889577419775E-4</v>
          </cell>
          <cell r="I19">
            <v>4.8766196515792615E-4</v>
          </cell>
          <cell r="J19">
            <v>4.8821427252598859E-4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3.1209193385429572E-4</v>
          </cell>
          <cell r="F20">
            <v>1.1595704000986662E-3</v>
          </cell>
          <cell r="G20">
            <v>1.1797623124466118E-3</v>
          </cell>
          <cell r="H20">
            <v>3.9947438911112996E-3</v>
          </cell>
          <cell r="I20">
            <v>6.227797254063464E-3</v>
          </cell>
          <cell r="J20">
            <v>4.5775536207791111E-3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3.120919338542954E-4</v>
          </cell>
          <cell r="F21">
            <v>1.1595704000986649E-3</v>
          </cell>
          <cell r="G21">
            <v>1.1797623124466102E-3</v>
          </cell>
          <cell r="H21">
            <v>3.9947438911112952E-3</v>
          </cell>
          <cell r="I21">
            <v>6.227797254063458E-3</v>
          </cell>
          <cell r="J21">
            <v>4.577553620779105E-3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3.4743783728939052E-4</v>
          </cell>
          <cell r="F22">
            <v>1.2845083100273649E-3</v>
          </cell>
          <cell r="G22">
            <v>1.305376146601451E-3</v>
          </cell>
          <cell r="H22">
            <v>4.4179312998453976E-3</v>
          </cell>
          <cell r="I22">
            <v>6.8873626424134481E-3</v>
          </cell>
          <cell r="J22">
            <v>5.0623372057712942E-3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3.4743783728939052E-4</v>
          </cell>
          <cell r="F23">
            <v>1.2845083100273649E-3</v>
          </cell>
          <cell r="G23">
            <v>1.305376146601451E-3</v>
          </cell>
          <cell r="H23">
            <v>4.4179312998453976E-3</v>
          </cell>
          <cell r="I23">
            <v>6.8873626424134481E-3</v>
          </cell>
          <cell r="J23">
            <v>5.0623372057712942E-3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4.7400267540714E-4</v>
          </cell>
          <cell r="F24">
            <v>1.2690415231940599E-6</v>
          </cell>
          <cell r="G24">
            <v>7.7614030792352208E-6</v>
          </cell>
          <cell r="H24">
            <v>1.2811122259596399E-3</v>
          </cell>
          <cell r="I24">
            <v>1.9418575772839101E-3</v>
          </cell>
          <cell r="J24">
            <v>8.3424152037557704E-4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4.7634852962311536E-4</v>
          </cell>
          <cell r="F25">
            <v>4.7732128235218217E-4</v>
          </cell>
          <cell r="G25">
            <v>4.8472254719545538E-4</v>
          </cell>
          <cell r="H25">
            <v>1.6358717077501414E-3</v>
          </cell>
          <cell r="I25">
            <v>2.5503963430795113E-3</v>
          </cell>
          <cell r="J25">
            <v>1.8748359666219765E-3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1.0088006816751848E-5</v>
          </cell>
          <cell r="F26">
            <v>2.2590602261172505E-4</v>
          </cell>
          <cell r="G26">
            <v>2.10002805030042E-2</v>
          </cell>
          <cell r="H26">
            <v>6.6551663803176416E-3</v>
          </cell>
          <cell r="I26">
            <v>3.2848647043955272E-2</v>
          </cell>
          <cell r="J26">
            <v>3.8026717611155357E-2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1.0088006816751837E-5</v>
          </cell>
          <cell r="F27">
            <v>2.2572152481366501E-4</v>
          </cell>
          <cell r="G27">
            <v>2.0973494430934041E-2</v>
          </cell>
          <cell r="H27">
            <v>6.6551663803176564E-3</v>
          </cell>
          <cell r="I27">
            <v>3.2848647043955313E-2</v>
          </cell>
          <cell r="J27">
            <v>3.8026717611155357E-2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8.6488446764706928E-6</v>
          </cell>
          <cell r="F28">
            <v>2.748248451495884E-4</v>
          </cell>
          <cell r="G28">
            <v>2.4996870074132944E-2</v>
          </cell>
          <cell r="H28">
            <v>7.6491346978402198E-3</v>
          </cell>
          <cell r="I28">
            <v>3.5322451494215451E-2</v>
          </cell>
          <cell r="J28">
            <v>3.8412700761386698E-2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8.6488446764706928E-6</v>
          </cell>
          <cell r="F29">
            <v>2.748248451495884E-4</v>
          </cell>
          <cell r="G29">
            <v>2.4996870074132944E-2</v>
          </cell>
          <cell r="H29">
            <v>7.6491346978402198E-3</v>
          </cell>
          <cell r="I29">
            <v>3.5322451494215451E-2</v>
          </cell>
          <cell r="J29">
            <v>3.8412700761386698E-2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2.3364058726460801E-3</v>
          </cell>
          <cell r="F30">
            <v>3.3097250247219199E-5</v>
          </cell>
          <cell r="G30">
            <v>3.00886691941656E-5</v>
          </cell>
          <cell r="H30">
            <v>1.8970985529268199E-5</v>
          </cell>
          <cell r="I30">
            <v>3.4958834003404998E-4</v>
          </cell>
          <cell r="J30">
            <v>1.3410862138469599E-3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2.3364058726460801E-3</v>
          </cell>
          <cell r="F31">
            <v>2.3655748228734088E-3</v>
          </cell>
          <cell r="G31">
            <v>2.3819774778619032E-3</v>
          </cell>
          <cell r="H31">
            <v>2.3495390306566394E-3</v>
          </cell>
          <cell r="I31">
            <v>2.2037034548304879E-3</v>
          </cell>
          <cell r="J31">
            <v>2.3663997954926218E-3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8.2081351758901949E-3</v>
          </cell>
          <cell r="J32">
            <v>5.2942147757403342E-3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8.2910456322123141E-3</v>
          </cell>
          <cell r="J33">
            <v>5.3476916926670061E-3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8.03544857371225E-7</v>
          </cell>
          <cell r="I34">
            <v>1.07728964630017E-3</v>
          </cell>
          <cell r="J34">
            <v>1.8501533704820899E-5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8.03544857371225E-7</v>
          </cell>
          <cell r="I35">
            <v>1.0805419997110099E-3</v>
          </cell>
          <cell r="J35">
            <v>1.09904353341583E-3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3.1527408692113825E-4</v>
          </cell>
          <cell r="F36">
            <v>1.1559760180821744E-3</v>
          </cell>
          <cell r="G36">
            <v>1.1759541818828086E-3</v>
          </cell>
          <cell r="H36">
            <v>4.0244035899304632E-3</v>
          </cell>
          <cell r="I36">
            <v>7.1490870347362704E-3</v>
          </cell>
          <cell r="J36">
            <v>5.5667059973738379E-3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3.1527408692113808E-4</v>
          </cell>
          <cell r="F37">
            <v>1.1559760180821727E-3</v>
          </cell>
          <cell r="G37">
            <v>1.175954181882808E-3</v>
          </cell>
          <cell r="H37">
            <v>4.0244035899304588E-3</v>
          </cell>
          <cell r="I37">
            <v>7.1490870347362661E-3</v>
          </cell>
          <cell r="J37">
            <v>5.5667059973738345E-3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3.5095686834307722E-4</v>
          </cell>
          <cell r="F38">
            <v>1.2805442205269266E-3</v>
          </cell>
          <cell r="G38">
            <v>1.3007962397834007E-3</v>
          </cell>
          <cell r="H38">
            <v>4.450718961095777E-3</v>
          </cell>
          <cell r="I38">
            <v>7.906223672179068E-3</v>
          </cell>
          <cell r="J38">
            <v>6.1562059972847302E-3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3.5095686834307722E-4</v>
          </cell>
          <cell r="F39">
            <v>1.2805442205269266E-3</v>
          </cell>
          <cell r="G39">
            <v>1.3007962397834007E-3</v>
          </cell>
          <cell r="H39">
            <v>4.450718961095777E-3</v>
          </cell>
          <cell r="I39">
            <v>7.906223672179068E-3</v>
          </cell>
          <cell r="J39">
            <v>6.1562059972847302E-3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4.7283547445912402E-4</v>
          </cell>
          <cell r="F40">
            <v>1.2593807722884301E-6</v>
          </cell>
          <cell r="G40">
            <v>7.4016259654422897E-6</v>
          </cell>
          <cell r="H40">
            <v>1.29453036069945E-3</v>
          </cell>
          <cell r="I40">
            <v>2.14817587989388E-3</v>
          </cell>
          <cell r="J40">
            <v>1.10642063333921E-3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4.7492385453984522E-4</v>
          </cell>
          <cell r="F41">
            <v>4.758890966111903E-4</v>
          </cell>
          <cell r="G41">
            <v>4.8293360692892325E-4</v>
          </cell>
          <cell r="H41">
            <v>1.6480616045467333E-3</v>
          </cell>
          <cell r="I41">
            <v>2.9278563504784444E-3</v>
          </cell>
          <cell r="J41">
            <v>2.2801009115605707E-3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1.4134693901677249</v>
          </cell>
          <cell r="J42">
            <v>4.8957824898361375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362.87590449611827</v>
          </cell>
          <cell r="J43">
            <v>1256.8800651599101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-362.87590449611798</v>
          </cell>
          <cell r="J44">
            <v>-1256.8800651599099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391.89324816310801</v>
          </cell>
          <cell r="J45">
            <v>1330.7709631990199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4.2229875879645213</v>
          </cell>
          <cell r="J46">
            <v>14.340204344817044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5.2796934263374201E-2</v>
          </cell>
          <cell r="J47">
            <v>0.16461802330201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5.2796934263374201E-2</v>
          </cell>
          <cell r="J48">
            <v>0.21741491824857398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5.4461233045854263E-2</v>
          </cell>
          <cell r="G49">
            <v>5.6669611254943568E-2</v>
          </cell>
          <cell r="H49">
            <v>0.21514135135622456</v>
          </cell>
          <cell r="I49">
            <v>0.23266770821946609</v>
          </cell>
          <cell r="J49">
            <v>0.25978109612926764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3.4306234645622822</v>
          </cell>
          <cell r="F50">
            <v>3.82699966333838</v>
          </cell>
          <cell r="G50">
            <v>4.9654496005646234</v>
          </cell>
          <cell r="H50">
            <v>5.8911921236252685</v>
          </cell>
          <cell r="I50">
            <v>6.1608229918402708</v>
          </cell>
          <cell r="J50">
            <v>5.5328952544682348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3.1843992119315927</v>
          </cell>
          <cell r="F51">
            <v>3.5391910951617893</v>
          </cell>
          <cell r="G51">
            <v>1.6872127275530093</v>
          </cell>
          <cell r="H51">
            <v>2.2393173330631595</v>
          </cell>
          <cell r="I51">
            <v>2.5091124512491345</v>
          </cell>
          <cell r="J51">
            <v>2.3543027511322725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1.7249826630930327</v>
          </cell>
          <cell r="F52">
            <v>1.8957712341073694</v>
          </cell>
          <cell r="G52">
            <v>1.8539305627691298</v>
          </cell>
          <cell r="H52">
            <v>2.7233118804414342</v>
          </cell>
          <cell r="I52">
            <v>2.99144617469759</v>
          </cell>
          <cell r="J52">
            <v>3.6182088051258656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0.35009000783262539</v>
          </cell>
          <cell r="G53">
            <v>0.10964663559505242</v>
          </cell>
          <cell r="H53">
            <v>0.30501993739066274</v>
          </cell>
          <cell r="I53">
            <v>0.370512858482139</v>
          </cell>
          <cell r="J53">
            <v>0.43235871348561955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9.218733951541477</v>
          </cell>
          <cell r="F54">
            <v>10.684970895281182</v>
          </cell>
          <cell r="G54">
            <v>9.5653734344077748</v>
          </cell>
          <cell r="H54">
            <v>12.498122952897676</v>
          </cell>
          <cell r="I54">
            <v>13.378004246227722</v>
          </cell>
          <cell r="J54">
            <v>13.208155522397876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0.62767195290019095</v>
          </cell>
          <cell r="F55">
            <v>1.6886916646631301E-5</v>
          </cell>
          <cell r="G55">
            <v>1.9651396894178901E-7</v>
          </cell>
          <cell r="H55">
            <v>2.44785769875013E-7</v>
          </cell>
          <cell r="I55">
            <v>6.36027652380585E-7</v>
          </cell>
          <cell r="J55">
            <v>7.4931341748014903E-7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0.62767195290019095</v>
          </cell>
          <cell r="F56">
            <v>0.62768883981683798</v>
          </cell>
          <cell r="G56">
            <v>0.62768903633080697</v>
          </cell>
          <cell r="H56">
            <v>0.62768928111657696</v>
          </cell>
          <cell r="I56">
            <v>0.62770089167564402</v>
          </cell>
          <cell r="J56">
            <v>0.627701640989061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4.646141073927966E-2</v>
          </cell>
          <cell r="F57">
            <v>2.2397093979343501E-4</v>
          </cell>
          <cell r="G57">
            <v>4.3389838856808666E-3</v>
          </cell>
          <cell r="H57">
            <v>1.25694857122385E-3</v>
          </cell>
          <cell r="I57">
            <v>2.270966285363993E-3</v>
          </cell>
          <cell r="J57">
            <v>1.2667201630655255E-3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4.6461410739279764E-2</v>
          </cell>
          <cell r="F58">
            <v>2.2382172530989553E-4</v>
          </cell>
          <cell r="G58">
            <v>4.334468813999624E-3</v>
          </cell>
          <cell r="H58">
            <v>1.25694857122385E-3</v>
          </cell>
          <cell r="I58">
            <v>2.2709662853640008E-3</v>
          </cell>
          <cell r="J58">
            <v>1.2667201630655262E-3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6.1943416013802925E-2</v>
          </cell>
          <cell r="F59">
            <v>2.9472743451872021E-4</v>
          </cell>
          <cell r="G59">
            <v>5.5997267442362596E-3</v>
          </cell>
          <cell r="H59">
            <v>1.5722262568674242E-3</v>
          </cell>
          <cell r="I59">
            <v>2.6727803709660652E-3</v>
          </cell>
          <cell r="J59">
            <v>1.4085047073265555E-3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6.1943416013802925E-2</v>
          </cell>
          <cell r="F60">
            <v>2.9472743451872021E-4</v>
          </cell>
          <cell r="G60">
            <v>5.5997267442362596E-3</v>
          </cell>
          <cell r="H60">
            <v>1.5722262568674242E-3</v>
          </cell>
          <cell r="I60">
            <v>2.6727803709660652E-3</v>
          </cell>
          <cell r="J60">
            <v>1.4085047073265555E-3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3.5406443735178802E-3</v>
          </cell>
          <cell r="F61">
            <v>4.0413266386883602E-5</v>
          </cell>
          <cell r="G61">
            <v>3.4630148593900502E-5</v>
          </cell>
          <cell r="H61">
            <v>2.1992302964743501E-5</v>
          </cell>
          <cell r="I61">
            <v>3.1597772203533202E-4</v>
          </cell>
          <cell r="J61">
            <v>2.76030118496626E-4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3.5406443735178802E-3</v>
          </cell>
          <cell r="F62">
            <v>3.5686115778233549E-3</v>
          </cell>
          <cell r="G62">
            <v>3.570909636740604E-3</v>
          </cell>
          <cell r="H62">
            <v>3.230618465894103E-3</v>
          </cell>
          <cell r="I62">
            <v>2.3022163349962045E-3</v>
          </cell>
          <cell r="J62">
            <v>1.3298406056626094E-3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1.7717056026702838E-3</v>
          </cell>
          <cell r="I63">
            <v>3.0052542012069285E-3</v>
          </cell>
          <cell r="J63">
            <v>1.0960212095594993E-3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6.5629231023845943E-4</v>
          </cell>
          <cell r="I64">
            <v>1.1612195828003857E-3</v>
          </cell>
          <cell r="J64">
            <v>4.409986616394159E-4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3.1920272452806591E-3</v>
          </cell>
          <cell r="I65">
            <v>5.239916404306229E-3</v>
          </cell>
          <cell r="J65">
            <v>1.8657765784613157E-3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5.8509921923263701E-5</v>
          </cell>
          <cell r="I66">
            <v>4.7426930409578703E-5</v>
          </cell>
          <cell r="J66">
            <v>3.1467914944385002E-7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5.8509921923263701E-5</v>
          </cell>
          <cell r="I67">
            <v>1.0333657955931353E-4</v>
          </cell>
          <cell r="J67">
            <v>4.1416860426318225E-5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3.5600031186339249</v>
          </cell>
          <cell r="F68">
            <v>3.4647171643550578</v>
          </cell>
          <cell r="G68">
            <v>2.5284504089767169E-3</v>
          </cell>
          <cell r="H68">
            <v>3.0219355950569904</v>
          </cell>
          <cell r="I68">
            <v>1.3360185557488916E-3</v>
          </cell>
          <cell r="J68"/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330.012289097365</v>
          </cell>
          <cell r="F69">
            <v>321.17928113571401</v>
          </cell>
          <cell r="G69">
            <v>0.23438735291214099</v>
          </cell>
          <cell r="H69">
            <v>280.133429661783</v>
          </cell>
          <cell r="I69">
            <v>0.12384892011792201</v>
          </cell>
          <cell r="J69"/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3.5600031186339249</v>
          </cell>
          <cell r="F70">
            <v>3.4647171643550578</v>
          </cell>
          <cell r="G70">
            <v>2.5284504089767169E-3</v>
          </cell>
          <cell r="H70">
            <v>3.0219355950569904</v>
          </cell>
          <cell r="I70">
            <v>1.3360185557488916E-3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7.0902557403344286E-5</v>
          </cell>
          <cell r="F71">
            <v>7.6833031547044139E-5</v>
          </cell>
          <cell r="G71">
            <v>3.2370423239532028E-5</v>
          </cell>
          <cell r="H71">
            <v>1.402263469043784E-3</v>
          </cell>
          <cell r="I71">
            <v>2.0627464332455491E-3</v>
          </cell>
          <cell r="J71">
            <v>1.5324535520769716E-3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7.0902557403344489E-5</v>
          </cell>
          <cell r="F72">
            <v>7.6781843651276791E-5</v>
          </cell>
          <cell r="G72">
            <v>3.2336739136265136E-5</v>
          </cell>
          <cell r="H72">
            <v>1.402263469043784E-3</v>
          </cell>
          <cell r="I72">
            <v>2.0627464332455573E-3</v>
          </cell>
          <cell r="J72">
            <v>1.5324535520769731E-3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5.5789989083875977E-5</v>
          </cell>
          <cell r="F73">
            <v>5.9895424261968325E-5</v>
          </cell>
          <cell r="G73">
            <v>2.5909754347747602E-5</v>
          </cell>
          <cell r="H73">
            <v>1.7538713756506028E-3</v>
          </cell>
          <cell r="I73">
            <v>2.4278164231246822E-3</v>
          </cell>
          <cell r="J73">
            <v>1.7037640284507691E-3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5.5789989083875977E-5</v>
          </cell>
          <cell r="F74">
            <v>5.9895424261968325E-5</v>
          </cell>
          <cell r="G74">
            <v>2.5909754347747602E-5</v>
          </cell>
          <cell r="H74">
            <v>1.7538713756506028E-3</v>
          </cell>
          <cell r="I74">
            <v>2.4278164231246822E-3</v>
          </cell>
          <cell r="J74">
            <v>1.7037640284507691E-3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2.7051988091670101E-3</v>
          </cell>
          <cell r="F75">
            <v>6.6811916321704896E-5</v>
          </cell>
          <cell r="G75">
            <v>1.02166576318973E-4</v>
          </cell>
          <cell r="H75">
            <v>8.2933804853018895E-5</v>
          </cell>
          <cell r="I75">
            <v>2.5340292199834498E-4</v>
          </cell>
          <cell r="J75">
            <v>4.9839796929627598E-4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2.7051988091670101E-3</v>
          </cell>
          <cell r="F76">
            <v>2.7640864987753724E-3</v>
          </cell>
          <cell r="G76">
            <v>2.8456721615662183E-3</v>
          </cell>
          <cell r="H76">
            <v>2.8956537852601453E-3</v>
          </cell>
          <cell r="I76">
            <v>3.7445668315968621E-3</v>
          </cell>
          <cell r="J76">
            <v>2.1227262962491525E-3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0.26449599728742762</v>
          </cell>
          <cell r="J77">
            <v>0.17383716015756298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-0.26449599728742801</v>
          </cell>
          <cell r="J78">
            <v>-0.17383716015756301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2.871749113906447E-3</v>
          </cell>
          <cell r="J79">
            <v>1.9047421724173183E-3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0.33592998098809201</v>
          </cell>
          <cell r="J80">
            <v>0.21090575953434501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5.9562053366682965E-3</v>
          </cell>
          <cell r="J81">
            <v>3.7394638215309372E-3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3.2269169525990602E-4</v>
          </cell>
          <cell r="J82">
            <v>3.2312074453199415E-4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3.2269169525990602E-4</v>
          </cell>
          <cell r="J83">
            <v>8.3561164843815902E-7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3.2269169525990602E-4</v>
          </cell>
          <cell r="J84">
            <v>3.2312074453199371E-4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0.23643642442706647</v>
          </cell>
          <cell r="J85">
            <v>0.7840888887736801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404.78033975075141</v>
          </cell>
          <cell r="J86">
            <v>1199.2494352147369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-404.78033975075101</v>
          </cell>
          <cell r="J87">
            <v>-1199.2494352147401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2.2184048442956397</v>
          </cell>
          <cell r="J88">
            <v>6.9470275545347988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454.80937050646298</v>
          </cell>
          <cell r="J89">
            <v>1347.4712755221799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4.9009630442506698</v>
          </cell>
          <cell r="J90">
            <v>14.52016460692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2.5566122513501599E-2</v>
          </cell>
          <cell r="J91">
            <v>2.38446010028978E-2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2.5566122513501599E-2</v>
          </cell>
          <cell r="J92">
            <v>4.9410683795252437E-2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1.7853224929259299E-2</v>
          </cell>
          <cell r="I93">
            <v>4.7185586768652699E-2</v>
          </cell>
          <cell r="J93">
            <v>2.7871997056386402E-2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1.4890349302701408E-4</v>
          </cell>
          <cell r="I94">
            <v>3.9020137710814935E-4</v>
          </cell>
          <cell r="J94">
            <v>2.223829552371257E-4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1.3294954734554819E-4</v>
          </cell>
          <cell r="I95">
            <v>3.681145067058014E-4</v>
          </cell>
          <cell r="J95">
            <v>2.223829552371257E-4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3.1654654129892454E-4</v>
          </cell>
          <cell r="I96">
            <v>8.3662387887682081E-4</v>
          </cell>
          <cell r="J96">
            <v>4.9418434497139048E-4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1.18887419786353E-5</v>
          </cell>
          <cell r="I97">
            <v>3.9765920817380399E-6</v>
          </cell>
          <cell r="J97">
            <v>2.9753784888641302E-7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1.18887419786353E-5</v>
          </cell>
          <cell r="I98">
            <v>3.2552491696778063E-5</v>
          </cell>
          <cell r="J98">
            <v>2.0608478061981928E-5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311.181518695303</v>
          </cell>
          <cell r="F99">
            <v>29.6068554085162</v>
          </cell>
          <cell r="G99">
            <v>155.095459733203</v>
          </cell>
          <cell r="H99">
            <v>14.299333809163601</v>
          </cell>
          <cell r="I99">
            <v>65.990199611756395</v>
          </cell>
          <cell r="J99">
            <v>1.6309512984013601E-2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5.7100137314924551</v>
          </cell>
          <cell r="F100">
            <v>0.52357730750964115</v>
          </cell>
          <cell r="G100">
            <v>2.7442308772834436</v>
          </cell>
          <cell r="H100">
            <v>0.26044999158870175</v>
          </cell>
          <cell r="I100">
            <v>1.1921586501171726</v>
          </cell>
          <cell r="J100">
            <v>2.0698129087859049E-2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5.5174028137465019</v>
          </cell>
          <cell r="F101">
            <v>0.52494424483184821</v>
          </cell>
          <cell r="G101">
            <v>2.749919498815649</v>
          </cell>
          <cell r="H101">
            <v>0.25353428739651673</v>
          </cell>
          <cell r="I101">
            <v>1.170039000208448</v>
          </cell>
          <cell r="J101">
            <v>2.891757621279009E-4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0.21085223946068546</v>
          </cell>
          <cell r="F102">
            <v>3.0569300022806746E-4</v>
          </cell>
          <cell r="G102">
            <v>2.3698764535498434E-3</v>
          </cell>
          <cell r="H102">
            <v>1.9117375415968036E-4</v>
          </cell>
          <cell r="I102">
            <v>1.9901697849811009E-2</v>
          </cell>
          <cell r="J102">
            <v>1.9950815244630989E-2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7.1885421982130363E-4</v>
          </cell>
          <cell r="H103">
            <v>7.5957965539458052E-3</v>
          </cell>
          <cell r="I103">
            <v>6.047478019349805E-3</v>
          </cell>
          <cell r="J103">
            <v>5.6710719600048436E-4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1.7595916377844801E-6</v>
          </cell>
          <cell r="F104">
            <v>4.90070744658187E-7</v>
          </cell>
          <cell r="G104">
            <v>6.6944473557245204E-7</v>
          </cell>
          <cell r="H104">
            <v>9.9337564437711605E-7</v>
          </cell>
          <cell r="I104">
            <v>2.32036000797354E-6</v>
          </cell>
          <cell r="J104">
            <v>3.73612031808672E-6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1.0275137541326178</v>
          </cell>
          <cell r="F105">
            <v>1.0275142442033625</v>
          </cell>
          <cell r="G105">
            <v>1.0275149136480981</v>
          </cell>
          <cell r="H105">
            <v>1.0275159070237425</v>
          </cell>
          <cell r="I105">
            <v>1.0275199937131558</v>
          </cell>
          <cell r="J105">
            <v>0.7246884166072538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689.12808049041701</v>
          </cell>
          <cell r="F106">
            <v>648.131593050623</v>
          </cell>
          <cell r="G106">
            <v>595.69414204339796</v>
          </cell>
          <cell r="H106">
            <v>563.93192234722301</v>
          </cell>
          <cell r="I106">
            <v>236.13693504332599</v>
          </cell>
          <cell r="J106"/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9.1942854605091409</v>
          </cell>
          <cell r="F107">
            <v>8.6473139771654299</v>
          </cell>
          <cell r="G107">
            <v>7.9478624267604037</v>
          </cell>
          <cell r="H107">
            <v>7.5240845261774192</v>
          </cell>
          <cell r="I107">
            <v>3.4000122825606334</v>
          </cell>
          <cell r="J107">
            <v>0.24950130100090243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9.3504488533299437</v>
          </cell>
          <cell r="F108">
            <v>8.7941871512974537</v>
          </cell>
          <cell r="G108">
            <v>8.0826884944830031</v>
          </cell>
          <cell r="H108">
            <v>7.6517221485376377</v>
          </cell>
          <cell r="I108">
            <v>3.2040289693802757</v>
          </cell>
          <cell r="J108"/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1.6703941627519507E-4</v>
          </cell>
          <cell r="H109">
            <v>1.6807983908867356E-4</v>
          </cell>
          <cell r="I109">
            <v>0.25375364319288191</v>
          </cell>
          <cell r="J109">
            <v>0.25375303941518729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1.7329002996617391</v>
          </cell>
          <cell r="F110">
            <v>0.44239069244318535</v>
          </cell>
          <cell r="G110">
            <v>2.2812944648156734</v>
          </cell>
          <cell r="H110">
            <v>1.9337324604571154E-3</v>
          </cell>
          <cell r="I110">
            <v>2.0549763988787152E-3</v>
          </cell>
          <cell r="J110">
            <v>4.9681359632602243E-5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114.383525908292</v>
          </cell>
          <cell r="F111">
            <v>29.20087626538</v>
          </cell>
          <cell r="G111">
            <v>150.581371918293</v>
          </cell>
          <cell r="H111">
            <v>0.12763985154459101</v>
          </cell>
          <cell r="I111">
            <v>0.13564279849680599</v>
          </cell>
          <cell r="J111">
            <v>3.2793168122852699E-3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2.0280767005016296</v>
          </cell>
          <cell r="F112">
            <v>0.51774603307411282</v>
          </cell>
          <cell r="G112">
            <v>2.6698824808208035</v>
          </cell>
          <cell r="H112">
            <v>2.2631179351877825E-3</v>
          </cell>
          <cell r="I112">
            <v>2.4050141577447856E-3</v>
          </cell>
          <cell r="J112">
            <v>5.8143915111440986E-5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1.3233469665187199E-5</v>
          </cell>
          <cell r="F113">
            <v>1.1606502717188101E-5</v>
          </cell>
          <cell r="G113">
            <v>8.2576632156897599E-6</v>
          </cell>
          <cell r="H113">
            <v>1.3875292549168499E-5</v>
          </cell>
          <cell r="I113">
            <v>1.19151301277926E-5</v>
          </cell>
          <cell r="J113">
            <v>5.1064715539869202E-6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0.28967884255724918</v>
          </cell>
          <cell r="F114">
            <v>0.28944090732577632</v>
          </cell>
          <cell r="G114">
            <v>0.28939187428542407</v>
          </cell>
          <cell r="H114">
            <v>6.6064939792862543E-3</v>
          </cell>
          <cell r="I114">
            <v>5.8535318043905068E-4</v>
          </cell>
          <cell r="J114">
            <v>4.513340877426144E-4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15.013806384834073</v>
          </cell>
          <cell r="F115">
            <v>0.81980034181553141</v>
          </cell>
          <cell r="G115">
            <v>0.5706625299460979</v>
          </cell>
          <cell r="H115">
            <v>0.14760693832691235</v>
          </cell>
          <cell r="I115">
            <v>0.23925317835188925</v>
          </cell>
          <cell r="J115">
            <v>5.1607138229248859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15.013806384834073</v>
          </cell>
          <cell r="F116">
            <v>0.81980034181553141</v>
          </cell>
          <cell r="G116">
            <v>0.5706625299460979</v>
          </cell>
          <cell r="H116">
            <v>0.14760693832691235</v>
          </cell>
          <cell r="I116">
            <v>0.23925317835188925</v>
          </cell>
          <cell r="J116">
            <v>5.1607138229248859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1.70445465983095E-6</v>
          </cell>
          <cell r="F117">
            <v>1.5304160805831799E-6</v>
          </cell>
          <cell r="G117">
            <v>3.0157595357643899E-6</v>
          </cell>
          <cell r="H117">
            <v>3.65062104451308E-6</v>
          </cell>
          <cell r="I117">
            <v>0.73368390318102705</v>
          </cell>
          <cell r="J117">
            <v>0.934759130161537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0.56737641873983691</v>
          </cell>
          <cell r="F118">
            <v>7.5796870644879943E-2</v>
          </cell>
          <cell r="G118">
            <v>7.5788462117619915E-2</v>
          </cell>
          <cell r="H118">
            <v>7.5787175161802223E-2</v>
          </cell>
          <cell r="I118">
            <v>7.5789393123260496E-2</v>
          </cell>
          <cell r="J118">
            <v>1.1999908882844197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1.4349601200503861</v>
          </cell>
          <cell r="F119">
            <v>1.3102645980246312</v>
          </cell>
          <cell r="G119">
            <v>1.3482119043514593</v>
          </cell>
          <cell r="H119">
            <v>1.3639740792614912</v>
          </cell>
          <cell r="I119">
            <v>1.152868686610556</v>
          </cell>
          <cell r="J119">
            <v>0.55350081819229502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14.461260477271779</v>
          </cell>
          <cell r="F120">
            <v>13.159404849482078</v>
          </cell>
          <cell r="G120">
            <v>13.470762138996649</v>
          </cell>
          <cell r="H120">
            <v>13.510625828456901</v>
          </cell>
          <cell r="I120">
            <v>10.81698594203926</v>
          </cell>
          <cell r="J120">
            <v>4.9040172491837337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2843.2556188580402</v>
          </cell>
          <cell r="F121">
            <v>2596.1816837066499</v>
          </cell>
          <cell r="G121">
            <v>2671.3711544289999</v>
          </cell>
          <cell r="H121">
            <v>2702.6026094026802</v>
          </cell>
          <cell r="I121">
            <v>2284.31461279624</v>
          </cell>
          <cell r="J121">
            <v>1096.7164100090199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30.638530375625439</v>
          </cell>
          <cell r="F122">
            <v>27.976095729597503</v>
          </cell>
          <cell r="G122">
            <v>28.786327095140159</v>
          </cell>
          <cell r="H122">
            <v>29.122872946149585</v>
          </cell>
          <cell r="I122">
            <v>24.615459189614686</v>
          </cell>
          <cell r="J122">
            <v>11.818064763028197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2.5152139881345E-7</v>
          </cell>
          <cell r="G123">
            <v>5.9578501649675797E-7</v>
          </cell>
          <cell r="H123">
            <v>8.9532499520768197E-4</v>
          </cell>
          <cell r="I123">
            <v>8.6958874691174404E-3</v>
          </cell>
          <cell r="J123">
            <v>2.1306462862049999E-2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7.8399999999999997E-2</v>
          </cell>
          <cell r="F124">
            <v>7.3661021344113356E-2</v>
          </cell>
          <cell r="G124">
            <v>7.3660956310338338E-2</v>
          </cell>
          <cell r="H124">
            <v>7.4521782814045909E-2</v>
          </cell>
          <cell r="I124">
            <v>6.2988408257070819E-2</v>
          </cell>
          <cell r="J124">
            <v>5.6051452579669273E-2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9.9132429282297707</v>
          </cell>
          <cell r="F125">
            <v>0.38484989450492801</v>
          </cell>
          <cell r="G125">
            <v>0.67204246244111498</v>
          </cell>
          <cell r="H125">
            <v>4.5775464991540398</v>
          </cell>
          <cell r="I125">
            <v>0.32470753062337898</v>
          </cell>
          <cell r="J125">
            <v>4.5667256132857201E-2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4.3878880824572981E-2</v>
          </cell>
          <cell r="F126">
            <v>1.793842738721519E-3</v>
          </cell>
          <cell r="G126">
            <v>2.4373628812026206E-3</v>
          </cell>
          <cell r="H126">
            <v>7.6652836366327727E-4</v>
          </cell>
          <cell r="I126">
            <v>1.4956815047933684E-3</v>
          </cell>
          <cell r="J126">
            <v>2.0276086858017902E-4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0.10563434272582402</v>
          </cell>
          <cell r="F127">
            <v>4.274850632381871E-3</v>
          </cell>
          <cell r="G127">
            <v>5.7194203058908207E-3</v>
          </cell>
          <cell r="H127">
            <v>1.7520648312303524E-3</v>
          </cell>
          <cell r="I127">
            <v>3.3587233791851035E-3</v>
          </cell>
          <cell r="J127">
            <v>4.4048050760521712E-4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0.17576671858563425</v>
          </cell>
          <cell r="F128">
            <v>6.8235796898036896E-3</v>
          </cell>
          <cell r="G128">
            <v>1.1915646497182892E-2</v>
          </cell>
          <cell r="H128">
            <v>8.1162171970816474E-2</v>
          </cell>
          <cell r="I128">
            <v>5.7572257202726778E-3</v>
          </cell>
          <cell r="J128">
            <v>8.0970312292299995E-4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1.62036486046584E-7</v>
          </cell>
          <cell r="G129">
            <v>1.2400482617315999E-5</v>
          </cell>
          <cell r="H129">
            <v>3.0817061552152998E-7</v>
          </cell>
          <cell r="I129">
            <v>4.8750958231178398E-5</v>
          </cell>
          <cell r="J129">
            <v>1.5236426502412499E-7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4.1749985791059603E-3</v>
          </cell>
          <cell r="F130">
            <v>5.3682994986111658E-4</v>
          </cell>
          <cell r="G130">
            <v>5.1932090435015659E-4</v>
          </cell>
          <cell r="H130">
            <v>2.2374723188413814E-4</v>
          </cell>
          <cell r="I130">
            <v>1.329997008316783E-4</v>
          </cell>
          <cell r="J130">
            <v>4.9549156697833043E-5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9.9684273974466695E-4</v>
          </cell>
          <cell r="I131">
            <v>2.3334003380682238E-3</v>
          </cell>
          <cell r="J131">
            <v>5.632522028168462E-4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2.651699898828179E-3</v>
          </cell>
          <cell r="I132">
            <v>6.2070747909204046E-3</v>
          </cell>
          <cell r="J132">
            <v>1.4983063523206751E-3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4.2817456629511818E-3</v>
          </cell>
          <cell r="I133">
            <v>9.1798886153416758E-3</v>
          </cell>
          <cell r="J133">
            <v>2.1883990284401727E-3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7.48526191783225E-5</v>
          </cell>
          <cell r="I134">
            <v>7.8107924737627201E-5</v>
          </cell>
          <cell r="J134">
            <v>2.5996687932554099E-7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7.48526191783225E-5</v>
          </cell>
          <cell r="I135">
            <v>1.7338623524716597E-4</v>
          </cell>
          <cell r="J135">
            <v>6.6200943206283513E-5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28.94862176921502</v>
          </cell>
          <cell r="F136">
            <v>25.883627035283023</v>
          </cell>
          <cell r="G136">
            <v>28.673913007730871</v>
          </cell>
          <cell r="H136">
            <v>14.280897820157316</v>
          </cell>
          <cell r="I136">
            <v>6.078817014736793</v>
          </cell>
          <cell r="J136">
            <v>6.3534575695887678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28.94862176921502</v>
          </cell>
          <cell r="F137">
            <v>25.883627035283023</v>
          </cell>
          <cell r="G137">
            <v>28.673913007730871</v>
          </cell>
          <cell r="H137">
            <v>14.280897820157316</v>
          </cell>
          <cell r="I137">
            <v>6.078817014736793</v>
          </cell>
          <cell r="J137">
            <v>6.3534575695887678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2.0023346713083098E-6</v>
          </cell>
          <cell r="F138">
            <v>1.9296148825449502E-6</v>
          </cell>
          <cell r="G138">
            <v>3.1592490313541401E-6</v>
          </cell>
          <cell r="H138">
            <v>2.5637256290891301E-6</v>
          </cell>
          <cell r="I138">
            <v>3.5731462626025598E-6</v>
          </cell>
          <cell r="J138">
            <v>5.8528681707118404E-6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1.6999985625580027</v>
          </cell>
          <cell r="F139">
            <v>1.6999971605764719</v>
          </cell>
          <cell r="G139">
            <v>1.6999963424099485</v>
          </cell>
          <cell r="H139">
            <v>1.6999965822015783</v>
          </cell>
          <cell r="I139">
            <v>1.1999993906226152</v>
          </cell>
          <cell r="J139">
            <v>1.1999996459135263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220.39195320694617</v>
          </cell>
          <cell r="J140">
            <v>787.84983027140947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-220.391953206946</v>
          </cell>
          <cell r="J141">
            <v>-787.84983027141004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0.8781406590761488</v>
          </cell>
          <cell r="J142">
            <v>2.215738814680714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0.17337293369791187</v>
          </cell>
          <cell r="J143">
            <v>0.65317726644411345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288.46072689363803</v>
          </cell>
          <cell r="J144">
            <v>1086.76703479661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3.1084130053193699</v>
          </cell>
          <cell r="J145">
            <v>11.710851668066882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1.82865572876625E-2</v>
          </cell>
          <cell r="J146">
            <v>5.8344810588552502E-2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1.82865572876625E-2</v>
          </cell>
          <cell r="J147">
            <v>7.6631331215660958E-2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4.27521849932593E-2</v>
          </cell>
          <cell r="I148">
            <v>0.16808226548917601</v>
          </cell>
          <cell r="J148">
            <v>4.3487460689160297E-2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3.5657141526292867E-4</v>
          </cell>
          <cell r="I149">
            <v>1.3899568904991411E-3</v>
          </cell>
          <cell r="J149">
            <v>3.4697442039223659E-4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3.183673350561862E-4</v>
          </cell>
          <cell r="I150">
            <v>1.3112800853765489E-3</v>
          </cell>
          <cell r="J150">
            <v>3.4697442039223659E-4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7.5801746441949076E-4</v>
          </cell>
          <cell r="I151">
            <v>2.9801820122194313E-3</v>
          </cell>
          <cell r="J151">
            <v>7.7105426753830376E-4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3.7800941314952299E-5</v>
          </cell>
          <cell r="I152">
            <v>2.1553557225271101E-5</v>
          </cell>
          <cell r="J152">
            <v>2.5753684693234098E-7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3.7800941314952299E-5</v>
          </cell>
          <cell r="I153">
            <v>1.1653069647485149E-4</v>
          </cell>
          <cell r="J153">
            <v>7.604488994895213E-5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1.7190611173711747E-3</v>
          </cell>
          <cell r="G154">
            <v>2.0597347484319051E-3</v>
          </cell>
          <cell r="H154">
            <v>2.1385104577516505E-3</v>
          </cell>
          <cell r="I154">
            <v>2.2336299533785458E-3</v>
          </cell>
          <cell r="J154">
            <v>2.2752527916526989E-3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1.7190611173711747E-3</v>
          </cell>
          <cell r="G155">
            <v>2.0597347484319051E-3</v>
          </cell>
          <cell r="H155">
            <v>2.1385104577516505E-3</v>
          </cell>
          <cell r="I155">
            <v>2.2336299533785458E-3</v>
          </cell>
          <cell r="J155">
            <v>2.2752527916526989E-3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1.5527242309249501E-4</v>
          </cell>
          <cell r="G156">
            <v>3.2634651724719201E-5</v>
          </cell>
          <cell r="H156">
            <v>4.3380221405652999E-7</v>
          </cell>
          <cell r="I156">
            <v>4.5966023655233799E-7</v>
          </cell>
          <cell r="J156">
            <v>5.0223745225430602E-7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1.5527242309249501E-4</v>
          </cell>
          <cell r="G157">
            <v>1.8790707481721399E-4</v>
          </cell>
          <cell r="H157">
            <v>1.8834087703127001E-4</v>
          </cell>
          <cell r="I157">
            <v>1.8893488904318201E-4</v>
          </cell>
          <cell r="J157">
            <v>1.8943712649543699E-4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0.11258824210855271</v>
          </cell>
          <cell r="F158">
            <v>0.11414445718145896</v>
          </cell>
          <cell r="G158">
            <v>0.10596119536116957</v>
          </cell>
          <cell r="H158">
            <v>0.13842296597312698</v>
          </cell>
          <cell r="I158">
            <v>0.16814863489730686</v>
          </cell>
          <cell r="J158">
            <v>0.19687175057746376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5.6294121054276411</v>
          </cell>
          <cell r="F159">
            <v>5.7072228590729432</v>
          </cell>
          <cell r="G159">
            <v>5.2980597680584767</v>
          </cell>
          <cell r="H159">
            <v>6.92114829865635</v>
          </cell>
          <cell r="I159">
            <v>8.4074317448653364</v>
          </cell>
          <cell r="J159">
            <v>9.84358752887319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9.6793720144181492</v>
          </cell>
          <cell r="F160">
            <v>9.8131620474002759</v>
          </cell>
          <cell r="G160">
            <v>9.1096353383359769</v>
          </cell>
          <cell r="H160">
            <v>11.90042013180398</v>
          </cell>
          <cell r="I160">
            <v>14.455978354457031</v>
          </cell>
          <cell r="J160">
            <v>16.925345642502513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4.09974711374788E-3</v>
          </cell>
          <cell r="F161">
            <v>2.93755801846491E-3</v>
          </cell>
          <cell r="G161">
            <v>7.9541890801185901E-7</v>
          </cell>
          <cell r="H161">
            <v>0.11944803298734399</v>
          </cell>
          <cell r="I161">
            <v>4.9812139855354702E-2</v>
          </cell>
          <cell r="J161">
            <v>0.17513581257317501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0.21266983233307518</v>
          </cell>
          <cell r="F162">
            <v>0.21560668817707482</v>
          </cell>
          <cell r="G162">
            <v>0.21559942893170744</v>
          </cell>
          <cell r="H162">
            <v>0.26146589181293189</v>
          </cell>
          <cell r="I162">
            <v>0.31761300522074104</v>
          </cell>
          <cell r="J162">
            <v>0.37186907134274516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0.23882635326183832</v>
          </cell>
          <cell r="J163">
            <v>74.056330068726069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-0.23882635326183799</v>
          </cell>
          <cell r="J164">
            <v>-74.056330068726098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1.541551885744592E-3</v>
          </cell>
          <cell r="J165">
            <v>0.47801121488300274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1.745974147650504E-3</v>
          </cell>
          <cell r="J166">
            <v>0.52832818487068867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0.30633806530864799</v>
          </cell>
          <cell r="J167">
            <v>83.458054524648603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5.4315259806497892E-3</v>
          </cell>
          <cell r="J168">
            <v>1.4797527397987349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3.65816055150011E-4</v>
          </cell>
          <cell r="J169">
            <v>5.4858143189370899E-2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3.65816055150011E-4</v>
          </cell>
          <cell r="J170">
            <v>5.5223527873438448E-2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3.2944551572076066</v>
          </cell>
          <cell r="G171">
            <v>6.8323924130458185</v>
          </cell>
          <cell r="H171">
            <v>17.90234288253108</v>
          </cell>
          <cell r="I171">
            <v>30.678577003155329</v>
          </cell>
          <cell r="J171">
            <v>37.263662064898242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3.2944551572076066</v>
          </cell>
          <cell r="G172">
            <v>6.8323924130458185</v>
          </cell>
          <cell r="H172">
            <v>17.90234288253108</v>
          </cell>
          <cell r="I172">
            <v>30.678577003155329</v>
          </cell>
          <cell r="J172">
            <v>37.263662064898242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3.2944551572076</v>
          </cell>
          <cell r="G173">
            <v>6.8323924130458202</v>
          </cell>
          <cell r="H173">
            <v>17.902342882531102</v>
          </cell>
          <cell r="I173">
            <v>30.678577003155301</v>
          </cell>
          <cell r="J173">
            <v>37.263662064898199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4.07326109526726E-8</v>
          </cell>
          <cell r="G174">
            <v>1.0047138903855399</v>
          </cell>
          <cell r="H174">
            <v>3.0653503752533702</v>
          </cell>
          <cell r="I174">
            <v>0.83668310136003099</v>
          </cell>
          <cell r="J174">
            <v>6.1434351559400904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1.1231013023006211</v>
          </cell>
          <cell r="G175">
            <v>2.1799429311181502</v>
          </cell>
          <cell r="H175">
            <v>5.1607234846121894</v>
          </cell>
          <cell r="I175">
            <v>8.8437391417889586</v>
          </cell>
          <cell r="J175">
            <v>10.7420270565627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5.6100028562729252</v>
          </cell>
          <cell r="F176">
            <v>6.0767042702686709</v>
          </cell>
          <cell r="G176">
            <v>5.8897464898140068</v>
          </cell>
          <cell r="H176">
            <v>7.5206424466177531</v>
          </cell>
          <cell r="I176">
            <v>8.8088336919783856</v>
          </cell>
          <cell r="J176">
            <v>8.5380403147564774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6.0987788388281094</v>
          </cell>
          <cell r="F177">
            <v>6.6044058125435932</v>
          </cell>
          <cell r="G177">
            <v>6.3986901220342833</v>
          </cell>
          <cell r="H177">
            <v>8.1651521065193311</v>
          </cell>
          <cell r="I177">
            <v>9.5512020552591732</v>
          </cell>
          <cell r="J177">
            <v>9.2454670122183185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0.84970027980833795</v>
          </cell>
          <cell r="F178">
            <v>8.3146980997907399E-8</v>
          </cell>
          <cell r="G178">
            <v>9.8409929129622299E-8</v>
          </cell>
          <cell r="H178">
            <v>1.1871048120285E-7</v>
          </cell>
          <cell r="I178">
            <v>2.9876229463129399E-7</v>
          </cell>
          <cell r="J178">
            <v>6.1252359024796295E-7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0.84970027980833795</v>
          </cell>
          <cell r="F179">
            <v>0.84970036295531903</v>
          </cell>
          <cell r="G179">
            <v>0.84970046136524802</v>
          </cell>
          <cell r="H179">
            <v>0.84970058007573002</v>
          </cell>
          <cell r="I179">
            <v>0.84970108563883395</v>
          </cell>
          <cell r="J179">
            <v>0.84970169816242402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5.2820060979608726E-4</v>
          </cell>
          <cell r="G180">
            <v>1.0638808308248715E-3</v>
          </cell>
          <cell r="H180">
            <v>2.0399365914568375E-3</v>
          </cell>
          <cell r="I180">
            <v>2.2085750682702973E-3</v>
          </cell>
          <cell r="J180">
            <v>2.3514813569323651E-3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5.2820060979608726E-4</v>
          </cell>
          <cell r="G181">
            <v>1.0638808308248715E-3</v>
          </cell>
          <cell r="H181">
            <v>2.0399365914568375E-3</v>
          </cell>
          <cell r="I181">
            <v>2.2085750682702973E-3</v>
          </cell>
          <cell r="J181">
            <v>2.3514813569323651E-3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4.5513208912656701E-5</v>
          </cell>
          <cell r="G182">
            <v>4.2849715608449799E-5</v>
          </cell>
          <cell r="H182">
            <v>6.8961524579065603E-5</v>
          </cell>
          <cell r="I182">
            <v>1.3132363851600599E-7</v>
          </cell>
          <cell r="J182">
            <v>1.5560910638374901E-7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4.5513208912656701E-5</v>
          </cell>
          <cell r="G183">
            <v>8.83629245211065E-5</v>
          </cell>
          <cell r="H183">
            <v>1.5732444910017201E-4</v>
          </cell>
          <cell r="I183">
            <v>1.57660025656409E-4</v>
          </cell>
          <cell r="J183">
            <v>1.5781563476279301E-4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2.6132858102042768E-3</v>
          </cell>
          <cell r="G184">
            <v>3.0001863548299632E-2</v>
          </cell>
          <cell r="H184">
            <v>3.1754511112635282E-2</v>
          </cell>
          <cell r="I184">
            <v>3.5055953066321872E-2</v>
          </cell>
          <cell r="J184">
            <v>3.2610050200099404E-2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2.6132858102042768E-3</v>
          </cell>
          <cell r="G185">
            <v>3.0001863548299632E-2</v>
          </cell>
          <cell r="H185">
            <v>3.1754511112635282E-2</v>
          </cell>
          <cell r="I185">
            <v>3.5055953066321872E-2</v>
          </cell>
          <cell r="J185">
            <v>3.2610050200099404E-2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2.2657296792788701E-4</v>
          </cell>
          <cell r="G186">
            <v>2.4794525541397901E-3</v>
          </cell>
          <cell r="I186">
            <v>8.5963692865430205E-7</v>
          </cell>
          <cell r="J186">
            <v>1.0609478216584101E-7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2.2657296792788701E-4</v>
          </cell>
          <cell r="G187">
            <v>2.7060255220676798E-3</v>
          </cell>
          <cell r="H187">
            <v>2.7060255220676798E-3</v>
          </cell>
          <cell r="I187">
            <v>2.70688515899633E-3</v>
          </cell>
          <cell r="J187">
            <v>2.7069912537785001E-3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0.65953792945737721</v>
          </cell>
          <cell r="F188">
            <v>1.3833807964653162</v>
          </cell>
          <cell r="G188">
            <v>3.365176699869934</v>
          </cell>
          <cell r="H188">
            <v>2.6661378601675492</v>
          </cell>
          <cell r="I188">
            <v>2.0812137060106384</v>
          </cell>
          <cell r="J188">
            <v>1.3483135911267238E-3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0.17245399392753163</v>
          </cell>
          <cell r="F189">
            <v>0.39722421048281215</v>
          </cell>
          <cell r="G189">
            <v>1.1330918213891377</v>
          </cell>
          <cell r="H189">
            <v>1.2603560793519302</v>
          </cell>
          <cell r="I189">
            <v>0.9838464792050271</v>
          </cell>
          <cell r="J189">
            <v>6.3738460671444968E-4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0.87253760658803525</v>
          </cell>
          <cell r="F190">
            <v>1.759389454659076</v>
          </cell>
          <cell r="G190">
            <v>4.4989926984724891</v>
          </cell>
          <cell r="H190">
            <v>4.5494022371564435</v>
          </cell>
          <cell r="I190">
            <v>2.7870072541836541</v>
          </cell>
          <cell r="J190">
            <v>1.9369465679275266E-3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1.3008377581175E-2</v>
          </cell>
          <cell r="G191">
            <v>2.7208464380373599E-2</v>
          </cell>
          <cell r="H191">
            <v>1.1091968747858101E-2</v>
          </cell>
          <cell r="I191">
            <v>2.1255937983031499E-6</v>
          </cell>
          <cell r="J191">
            <v>2.53967919066005E-7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6.4895123272302908E-3</v>
          </cell>
          <cell r="F192">
            <v>1.4687302772793313E-2</v>
          </cell>
          <cell r="G192">
            <v>4.1895606055689844E-2</v>
          </cell>
          <cell r="H192">
            <v>5.2986796225327579E-2</v>
          </cell>
          <cell r="I192">
            <v>4.1803165805646629E-2</v>
          </cell>
          <cell r="J192">
            <v>4.7557601526001039E-5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9.1351408717508533E-4</v>
          </cell>
          <cell r="G193">
            <v>1.6467982188306273E-3</v>
          </cell>
          <cell r="H193">
            <v>4.6134115502008384E-3</v>
          </cell>
          <cell r="I193">
            <v>4.0056581396460587</v>
          </cell>
          <cell r="J193">
            <v>6.0095195065725582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9.1351408717508533E-4</v>
          </cell>
          <cell r="G194">
            <v>1.6467982188306273E-3</v>
          </cell>
          <cell r="H194">
            <v>4.6134115502008384E-3</v>
          </cell>
          <cell r="I194">
            <v>4.0056581396460587</v>
          </cell>
          <cell r="J194">
            <v>6.0095195065725582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7.8451872278404399E-5</v>
          </cell>
          <cell r="G195">
            <v>6.08425349070656E-5</v>
          </cell>
          <cell r="H195">
            <v>2.0171191478654199E-4</v>
          </cell>
          <cell r="I195">
            <v>7.1220075076972297E-2</v>
          </cell>
          <cell r="J195">
            <v>0.14245865886715001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7.8451872278404399E-5</v>
          </cell>
          <cell r="G196">
            <v>1.3929440718547001E-4</v>
          </cell>
          <cell r="H196">
            <v>3.4100632197201202E-4</v>
          </cell>
          <cell r="I196">
            <v>0.28477080904992302</v>
          </cell>
          <cell r="J196">
            <v>0.427229467917073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2.690131786131482E-5</v>
          </cell>
          <cell r="F197">
            <v>2.0458170052227111E-5</v>
          </cell>
          <cell r="G197">
            <v>2.0896559409995805E-5</v>
          </cell>
          <cell r="H197">
            <v>8.6808973608580517E-3</v>
          </cell>
          <cell r="I197">
            <v>2.3154733231775037E-2</v>
          </cell>
          <cell r="J197">
            <v>4.2272344755963399E-2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2.6901317861314871E-5</v>
          </cell>
          <cell r="F198">
            <v>2.0474891928131891E-5</v>
          </cell>
          <cell r="G198">
            <v>2.0923247225334225E-5</v>
          </cell>
          <cell r="H198">
            <v>8.6808973608580448E-3</v>
          </cell>
          <cell r="I198">
            <v>2.315473323177502E-2</v>
          </cell>
          <cell r="J198">
            <v>4.2272344755963386E-2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2.6901317861314871E-5</v>
          </cell>
          <cell r="F199">
            <v>2.0474891928131891E-5</v>
          </cell>
          <cell r="G199">
            <v>2.0923247225334225E-5</v>
          </cell>
          <cell r="H199">
            <v>9.9767348841393027E-3</v>
          </cell>
          <cell r="I199">
            <v>2.4897562614811748E-2</v>
          </cell>
          <cell r="J199">
            <v>4.2699356487606595E-2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2.6901317861314871E-5</v>
          </cell>
          <cell r="F200">
            <v>2.0474891928131891E-5</v>
          </cell>
          <cell r="G200">
            <v>2.0923247225334225E-5</v>
          </cell>
          <cell r="H200">
            <v>9.9767348841393027E-3</v>
          </cell>
          <cell r="I200">
            <v>2.4897562614811748E-2</v>
          </cell>
          <cell r="J200">
            <v>4.2699356487606595E-2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1.3565443321215101E-3</v>
          </cell>
          <cell r="F201">
            <v>4.06488397692622E-5</v>
          </cell>
          <cell r="G201">
            <v>6.35449849102597E-5</v>
          </cell>
          <cell r="H201">
            <v>5.7066413267238497E-5</v>
          </cell>
          <cell r="I201">
            <v>1.14692980908592E-4</v>
          </cell>
          <cell r="J201">
            <v>1.73686169852626E-3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1.3565443321215101E-3</v>
          </cell>
          <cell r="F202">
            <v>1.393130362542431E-3</v>
          </cell>
          <cell r="G202">
            <v>1.4460272053373139E-3</v>
          </cell>
          <cell r="H202">
            <v>1.4819182739179589E-3</v>
          </cell>
          <cell r="I202">
            <v>2.0877253554399443E-3</v>
          </cell>
          <cell r="J202">
            <v>2.6321566703086732E-3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3.7646711190083101E-5</v>
          </cell>
          <cell r="G203">
            <v>2.08214956789304</v>
          </cell>
          <cell r="H203">
            <v>4.5451514841671212</v>
          </cell>
          <cell r="I203">
            <v>7.9031245059668791</v>
          </cell>
          <cell r="J203">
            <v>13.763331978741739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3.7646711190083101E-5</v>
          </cell>
          <cell r="G204">
            <v>2.08214956789304</v>
          </cell>
          <cell r="H204">
            <v>4.5451514841671212</v>
          </cell>
          <cell r="I204">
            <v>7.9031245059668791</v>
          </cell>
          <cell r="J204">
            <v>13.763331978741739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3.7646711190083202E-5</v>
          </cell>
          <cell r="G205">
            <v>2.08214956789304</v>
          </cell>
          <cell r="H205">
            <v>4.5451514841671203</v>
          </cell>
          <cell r="I205">
            <v>7.90312450596688</v>
          </cell>
          <cell r="J205">
            <v>13.7633319787417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1.28605133874865E-5</v>
          </cell>
          <cell r="G206">
            <v>0.66431777384357305</v>
          </cell>
          <cell r="H206">
            <v>0.64590414293271903</v>
          </cell>
          <cell r="I206">
            <v>0.49038621594549597</v>
          </cell>
          <cell r="J206">
            <v>2.9286217900057299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1.28605133874865E-5</v>
          </cell>
          <cell r="G207">
            <v>0.66433063435696105</v>
          </cell>
          <cell r="H207">
            <v>1.3102347772896801</v>
          </cell>
          <cell r="I207">
            <v>2.2782404528134599</v>
          </cell>
          <cell r="J207">
            <v>3.9675672544268701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0.96588068318343512</v>
          </cell>
          <cell r="F208">
            <v>6.1733617200563132E-4</v>
          </cell>
          <cell r="G208">
            <v>5.8442348639366464E-3</v>
          </cell>
          <cell r="H208">
            <v>2.0740263237974156E-3</v>
          </cell>
          <cell r="I208">
            <v>2.2010303319136774E-2</v>
          </cell>
          <cell r="J208">
            <v>1.6685303862715173E-4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1.8035510959187242</v>
          </cell>
          <cell r="F209">
            <v>1.1862453865855349E-3</v>
          </cell>
          <cell r="G209">
            <v>1.1705980676556869E-2</v>
          </cell>
          <cell r="H209">
            <v>4.4357860474954899E-3</v>
          </cell>
          <cell r="I209">
            <v>4.6567962079732149E-2</v>
          </cell>
          <cell r="J209">
            <v>3.4926126306285152E-4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207.66124854788299</v>
          </cell>
          <cell r="F210">
            <v>0.18753547109277</v>
          </cell>
          <cell r="G210">
            <v>1.6371574876425301</v>
          </cell>
          <cell r="H210">
            <v>6.4406513456240599</v>
          </cell>
          <cell r="I210">
            <v>5.0093080958050402</v>
          </cell>
          <cell r="J210">
            <v>4.5351236228985799E-2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3.6819370309908273</v>
          </cell>
          <cell r="F211">
            <v>3.3250970051909474E-3</v>
          </cell>
          <cell r="G211">
            <v>2.9027615029122891E-2</v>
          </cell>
          <cell r="H211">
            <v>0.11419594584439813</v>
          </cell>
          <cell r="I211">
            <v>8.8817519429167588E-2</v>
          </cell>
          <cell r="J211">
            <v>8.0409993313804585E-4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6.9247295596299798E-7</v>
          </cell>
          <cell r="G212">
            <v>4.47939044286918E-4</v>
          </cell>
          <cell r="H212">
            <v>1.17152488474658E-5</v>
          </cell>
          <cell r="I212">
            <v>2.0486450258182199E-3</v>
          </cell>
          <cell r="J212">
            <v>1.7423142799543099E-6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4.5282160391311096E-2</v>
          </cell>
          <cell r="F213">
            <v>2.1050122833346507E-4</v>
          </cell>
          <cell r="G213">
            <v>6.5731092401487279E-4</v>
          </cell>
          <cell r="H213">
            <v>6.4075908407064397E-4</v>
          </cell>
          <cell r="I213">
            <v>2.6736300166544493E-3</v>
          </cell>
          <cell r="J213">
            <v>5.6633042214510043E-5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12.841921994156607</v>
          </cell>
          <cell r="F214">
            <v>16.03297181373506</v>
          </cell>
          <cell r="G214">
            <v>31.652346598526165</v>
          </cell>
          <cell r="H214">
            <v>12.858579446564042</v>
          </cell>
          <cell r="I214">
            <v>13.341049972774153</v>
          </cell>
          <cell r="J214">
            <v>13.8047812769962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12.841921994156607</v>
          </cell>
          <cell r="F215">
            <v>16.03297181373506</v>
          </cell>
          <cell r="G215">
            <v>31.652346598526165</v>
          </cell>
          <cell r="H215">
            <v>12.858579446564042</v>
          </cell>
          <cell r="I215">
            <v>13.341049972774153</v>
          </cell>
          <cell r="J215">
            <v>13.8047812769962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16.052402535935702</v>
          </cell>
          <cell r="F216">
            <v>20.041214673112279</v>
          </cell>
          <cell r="G216">
            <v>39.565433804037355</v>
          </cell>
          <cell r="H216">
            <v>16.073223933822081</v>
          </cell>
          <cell r="I216">
            <v>16.676311228341181</v>
          </cell>
          <cell r="J216">
            <v>17.255975867053252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16.052402535935702</v>
          </cell>
          <cell r="F217">
            <v>20.041214673112279</v>
          </cell>
          <cell r="G217">
            <v>39.565433804037355</v>
          </cell>
          <cell r="H217">
            <v>16.073223933822081</v>
          </cell>
          <cell r="I217">
            <v>16.676311228341181</v>
          </cell>
          <cell r="J217">
            <v>17.255975867053252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7.0902611313004564E-5</v>
          </cell>
          <cell r="F219">
            <v>3.3939651627467503E-4</v>
          </cell>
          <cell r="G219">
            <v>2.9123432193482201E-3</v>
          </cell>
          <cell r="H219">
            <v>1.1528407068534612E-3</v>
          </cell>
          <cell r="I219">
            <v>2.220187837087567E-3</v>
          </cell>
          <cell r="J219">
            <v>1.2597698214267975E-3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7.0902611313004781E-5</v>
          </cell>
          <cell r="F220">
            <v>3.391704026728931E-4</v>
          </cell>
          <cell r="G220">
            <v>2.9093126853010358E-3</v>
          </cell>
          <cell r="H220">
            <v>1.1528407068534612E-3</v>
          </cell>
          <cell r="I220">
            <v>2.2201878370875757E-3</v>
          </cell>
          <cell r="J220">
            <v>1.2597698214267983E-3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5.5790060965150916E-5</v>
          </cell>
          <cell r="F221">
            <v>4.4792934668864151E-4</v>
          </cell>
          <cell r="G221">
            <v>3.7589000780031989E-3</v>
          </cell>
          <cell r="H221">
            <v>1.4420914287532314E-3</v>
          </cell>
          <cell r="I221">
            <v>2.6130410315640738E-3</v>
          </cell>
          <cell r="J221">
            <v>1.4007821055077457E-3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5.5790060965150916E-5</v>
          </cell>
          <cell r="F222">
            <v>4.4792934668864151E-4</v>
          </cell>
          <cell r="G222">
            <v>3.7589000780031989E-3</v>
          </cell>
          <cell r="H222">
            <v>1.4420914287532314E-3</v>
          </cell>
          <cell r="I222">
            <v>2.6130410315640738E-3</v>
          </cell>
          <cell r="J222">
            <v>1.4007821055077457E-3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2.3376925501824401E-3</v>
          </cell>
          <cell r="F223">
            <v>7.5706837156155402E-5</v>
          </cell>
          <cell r="G223">
            <v>5.4087997166412497E-5</v>
          </cell>
          <cell r="H223">
            <v>2.6564730849278E-5</v>
          </cell>
          <cell r="I223">
            <v>2.0392567612593899E-4</v>
          </cell>
          <cell r="J223">
            <v>2.9676010934801802E-4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2.3376925501824401E-3</v>
          </cell>
          <cell r="F224">
            <v>2.4093679014704004E-3</v>
          </cell>
          <cell r="G224">
            <v>2.4500013602833325E-3</v>
          </cell>
          <cell r="H224">
            <v>2.4377385405005385E-3</v>
          </cell>
          <cell r="I224">
            <v>2.3339312005503979E-3</v>
          </cell>
          <cell r="J224">
            <v>1.3287284877999161E-3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1.2515320397442871E-3</v>
          </cell>
          <cell r="I225">
            <v>4.9492288409908299E-3</v>
          </cell>
          <cell r="J225">
            <v>7.3616178643844392E-4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6.2576601987214379E-4</v>
          </cell>
          <cell r="I226">
            <v>2.2248826899867046E-3</v>
          </cell>
          <cell r="J226">
            <v>2.9704773838744227E-4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0.135743090464573</v>
          </cell>
          <cell r="I227">
            <v>0.51217707638877497</v>
          </cell>
          <cell r="J227">
            <v>7.2841271500224902E-2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2.4067923841236297E-3</v>
          </cell>
          <cell r="I228">
            <v>9.0811538366804192E-3</v>
          </cell>
          <cell r="J228">
            <v>1.2915119060323572E-3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1.21071885432483E-4</v>
          </cell>
          <cell r="I229">
            <v>7.3400958065249105E-5</v>
          </cell>
          <cell r="J229">
            <v>2.8608817162537302E-6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1.21071885432483E-4</v>
          </cell>
          <cell r="I230">
            <v>2.7795225996868442E-4</v>
          </cell>
          <cell r="J230">
            <v>1.0763681420492891E-4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4.6185749031758697E-6</v>
          </cell>
          <cell r="F231">
            <v>6.6663020044422066E-4</v>
          </cell>
          <cell r="G231">
            <v>2.4298613853622385E-2</v>
          </cell>
          <cell r="H231">
            <v>1.0753103006362157E-2</v>
          </cell>
          <cell r="I231">
            <v>7.8478272150916642E-2</v>
          </cell>
          <cell r="J231">
            <v>0.21914059739864974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4.6185749031758621E-6</v>
          </cell>
          <cell r="F232">
            <v>6.6608576252848758E-4</v>
          </cell>
          <cell r="G232">
            <v>2.4267620723707042E-2</v>
          </cell>
          <cell r="H232">
            <v>1.0753103006362175E-2</v>
          </cell>
          <cell r="I232">
            <v>7.8478272150916809E-2</v>
          </cell>
          <cell r="J232">
            <v>0.21914059739864974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9.8533821959523093E-6</v>
          </cell>
          <cell r="F233">
            <v>8.1123069512767864E-4</v>
          </cell>
          <cell r="G233">
            <v>2.8931021234359172E-2</v>
          </cell>
          <cell r="H233">
            <v>1.235818354335471E-2</v>
          </cell>
          <cell r="I233">
            <v>8.4386314946814117E-2</v>
          </cell>
          <cell r="J233">
            <v>0.22135487870087922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9.8533821959523093E-6</v>
          </cell>
          <cell r="F234">
            <v>8.1123069512767864E-4</v>
          </cell>
          <cell r="G234">
            <v>2.8931021234359172E-2</v>
          </cell>
          <cell r="H234">
            <v>1.235818354335471E-2</v>
          </cell>
          <cell r="I234">
            <v>8.4386314946814117E-2</v>
          </cell>
          <cell r="J234">
            <v>0.22135487870087922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3.0259384335734399E-3</v>
          </cell>
          <cell r="F235">
            <v>3.7131959979652202E-5</v>
          </cell>
          <cell r="G235">
            <v>1.6038342427296799E-4</v>
          </cell>
          <cell r="H235">
            <v>2.8002188113810801E-5</v>
          </cell>
          <cell r="I235">
            <v>1.27066055753153E-2</v>
          </cell>
          <cell r="J235">
            <v>3.3098489489242697E-2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3.0359612850726909E-3</v>
          </cell>
          <cell r="F236">
            <v>3.0656147242192487E-3</v>
          </cell>
          <cell r="G236">
            <v>3.2141472241792118E-3</v>
          </cell>
          <cell r="H236">
            <v>3.2094643855003348E-3</v>
          </cell>
          <cell r="I236">
            <v>1.8256075688199605E-2</v>
          </cell>
          <cell r="J236">
            <v>4.4644338401845229E-2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26.900201746116601</v>
          </cell>
          <cell r="F237">
            <v>179.53452578156899</v>
          </cell>
          <cell r="G237">
            <v>3.5659361582132401</v>
          </cell>
          <cell r="H237">
            <v>121.833111406462</v>
          </cell>
          <cell r="I237">
            <v>1.5510857635819999</v>
          </cell>
          <cell r="J237">
            <v>3.2879956237116901E-3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0.35890009535393214</v>
          </cell>
          <cell r="F238">
            <v>2.3953336495563651</v>
          </cell>
          <cell r="G238">
            <v>4.7576402559639623E-2</v>
          </cell>
          <cell r="H238">
            <v>1.6254865191618102</v>
          </cell>
          <cell r="I238">
            <v>2.0694448082794366E-2</v>
          </cell>
          <cell r="J238">
            <v>4.3868144708014784E-5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0.36499595313591104</v>
          </cell>
          <cell r="F239">
            <v>2.4360179888951015</v>
          </cell>
          <cell r="G239">
            <v>4.8384479758660025E-2</v>
          </cell>
          <cell r="H239">
            <v>1.6530951344160429</v>
          </cell>
          <cell r="I239">
            <v>2.1045939804369005E-2</v>
          </cell>
          <cell r="J239">
            <v>4.461323777085059E-5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66.745680037436841</v>
          </cell>
          <cell r="F240">
            <v>49.775985422026231</v>
          </cell>
          <cell r="G240">
            <v>68.476321294258724</v>
          </cell>
          <cell r="H240">
            <v>69.499529166618288</v>
          </cell>
          <cell r="I240">
            <v>68.592437260017391</v>
          </cell>
          <cell r="J240">
            <v>71.395432879522701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66.745680037436841</v>
          </cell>
          <cell r="F241">
            <v>49.775985422026231</v>
          </cell>
          <cell r="G241">
            <v>68.476321294258724</v>
          </cell>
          <cell r="H241">
            <v>69.499529166618288</v>
          </cell>
          <cell r="I241">
            <v>68.592437260017391</v>
          </cell>
          <cell r="J241">
            <v>71.395432879522701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6.2937299713547489E-5</v>
          </cell>
          <cell r="F243">
            <v>7.6779765090775624E-5</v>
          </cell>
          <cell r="G243">
            <v>3.2175150187201315E-5</v>
          </cell>
          <cell r="H243">
            <v>1.1047444700426855E-3</v>
          </cell>
          <cell r="I243">
            <v>1.6200125094776318E-3</v>
          </cell>
          <cell r="J243">
            <v>1.280014967833947E-3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6.293729971354734E-5</v>
          </cell>
          <cell r="F244">
            <v>7.6830951600836048E-5</v>
          </cell>
          <cell r="G244">
            <v>3.2208665968646285E-5</v>
          </cell>
          <cell r="H244">
            <v>1.1047444700426855E-3</v>
          </cell>
          <cell r="I244">
            <v>1.620012509477626E-3</v>
          </cell>
          <cell r="J244">
            <v>1.2800149678339457E-3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4.9551718880669376E-5</v>
          </cell>
          <cell r="F245">
            <v>5.994086316802705E-5</v>
          </cell>
          <cell r="G245">
            <v>2.5780215035390543E-5</v>
          </cell>
          <cell r="H245">
            <v>1.3819699571512554E-3</v>
          </cell>
          <cell r="I245">
            <v>1.9069522113459416E-3</v>
          </cell>
          <cell r="J245">
            <v>1.423276712632192E-3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4.9551718880669376E-5</v>
          </cell>
          <cell r="F246">
            <v>5.994086316802705E-5</v>
          </cell>
          <cell r="G246">
            <v>2.5780215035390543E-5</v>
          </cell>
          <cell r="H246">
            <v>1.3819699571512554E-3</v>
          </cell>
          <cell r="I246">
            <v>1.9069522113459416E-3</v>
          </cell>
          <cell r="J246">
            <v>1.423276712632192E-3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1.7015790517692501E-3</v>
          </cell>
          <cell r="F247">
            <v>4.2261119991711697E-5</v>
          </cell>
          <cell r="G247">
            <v>6.5621060209767104E-5</v>
          </cell>
          <cell r="H247">
            <v>5.2163146587168499E-5</v>
          </cell>
          <cell r="I247">
            <v>1.3808221193689499E-4</v>
          </cell>
          <cell r="J247">
            <v>3.1726801561233998E-4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1.7015790517692501E-3</v>
          </cell>
          <cell r="F248">
            <v>1.7389354456565525E-3</v>
          </cell>
          <cell r="G248">
            <v>1.7914601845202491E-3</v>
          </cell>
          <cell r="H248">
            <v>1.8227142450487994E-3</v>
          </cell>
          <cell r="I248">
            <v>2.3459798899471123E-3</v>
          </cell>
          <cell r="J248">
            <v>1.3285522176729547E-3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6.6438121509435858E-4</v>
          </cell>
          <cell r="F249">
            <v>2.0015473694449271E-3</v>
          </cell>
          <cell r="G249">
            <v>2.1904648634824852E-3</v>
          </cell>
          <cell r="H249">
            <v>1.0349554362658216E-3</v>
          </cell>
          <cell r="I249">
            <v>1.3944221777463649E-3</v>
          </cell>
          <cell r="J249">
            <v>9.5553099740944638E-4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60.158216860867981</v>
          </cell>
          <cell r="F250">
            <v>57.39541720636079</v>
          </cell>
          <cell r="G250">
            <v>58.948262771459873</v>
          </cell>
          <cell r="H250">
            <v>50.826153690886741</v>
          </cell>
          <cell r="I250">
            <v>39.12526289739138</v>
          </cell>
          <cell r="J250">
            <v>35.027201086699073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3.2284452551249515E-4</v>
          </cell>
          <cell r="F251">
            <v>1.3307656256548255E-3</v>
          </cell>
          <cell r="G251">
            <v>1.7642335681677251E-3</v>
          </cell>
          <cell r="H251">
            <v>8.5513291177479866E-4</v>
          </cell>
          <cell r="I251">
            <v>1.0944843217680033E-3</v>
          </cell>
          <cell r="J251">
            <v>7.8398334523456503E-4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27.751818613872217</v>
          </cell>
          <cell r="F252">
            <v>57.394366942617225</v>
          </cell>
          <cell r="G252">
            <v>58.943055849225949</v>
          </cell>
          <cell r="H252">
            <v>23.287265631310696</v>
          </cell>
          <cell r="I252">
            <v>17.77171220602845</v>
          </cell>
          <cell r="J252">
            <v>15.807634761729279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32.407379769791334</v>
          </cell>
          <cell r="F253">
            <v>4.3791565719839649E-3</v>
          </cell>
          <cell r="G253">
            <v>9.1578239030093416E-3</v>
          </cell>
          <cell r="H253">
            <v>27.540773473951948</v>
          </cell>
          <cell r="I253">
            <v>21.356039597862413</v>
          </cell>
          <cell r="J253">
            <v>19.221297845069163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8.2306595898858504E-7</v>
          </cell>
          <cell r="F254">
            <v>8.6879826732619695E-7</v>
          </cell>
          <cell r="G254">
            <v>8.7502316848131097E-7</v>
          </cell>
          <cell r="H254">
            <v>3.3697338945301901E-6</v>
          </cell>
          <cell r="I254">
            <v>3.18982323713786E-6</v>
          </cell>
          <cell r="J254">
            <v>2.2317486574291801E-6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4.4927376307715425</v>
          </cell>
          <cell r="G255">
            <v>4.4927390550264361</v>
          </cell>
          <cell r="H255">
            <v>4.492741784041276</v>
          </cell>
          <cell r="I255">
            <v>4.4927475506303507</v>
          </cell>
          <cell r="J255">
            <v>4.4927508560024227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13.982308811986373</v>
          </cell>
          <cell r="I256">
            <v>13.867475422791339</v>
          </cell>
          <cell r="J256">
            <v>7.930023109398503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13.982308811986373</v>
          </cell>
          <cell r="I257">
            <v>13.867475422791339</v>
          </cell>
          <cell r="J257">
            <v>7.930023109398503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0.49264247243787901</v>
          </cell>
          <cell r="I258">
            <v>0.46205415084894202</v>
          </cell>
          <cell r="J258">
            <v>0.121138075573395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0.49264247243787901</v>
          </cell>
          <cell r="I259">
            <v>0.48860016935968098</v>
          </cell>
          <cell r="J259">
            <v>0.27940143938557399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10.44646405664089</v>
          </cell>
          <cell r="I260">
            <v>13.872954479991629</v>
          </cell>
          <cell r="J260">
            <v>40.940524260214737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10.44646405664089</v>
          </cell>
          <cell r="I261">
            <v>13.872954479991629</v>
          </cell>
          <cell r="J261">
            <v>40.940524260214737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10.446464056640901</v>
          </cell>
          <cell r="I262">
            <v>13.8729544799916</v>
          </cell>
          <cell r="J262">
            <v>40.940524260214701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3.0114109291086999</v>
          </cell>
          <cell r="I263">
            <v>0.98773873739586404</v>
          </cell>
          <cell r="J263">
            <v>7.8028005434647998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3.0114109291086999</v>
          </cell>
          <cell r="I264">
            <v>3.9991681886667001</v>
          </cell>
          <cell r="J264">
            <v>11.801968732131501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6.5070004600527787</v>
          </cell>
          <cell r="F265">
            <v>7.3630616836150198</v>
          </cell>
          <cell r="G265">
            <v>7.5764041552780714</v>
          </cell>
          <cell r="H265">
            <v>7.8213121810598656</v>
          </cell>
          <cell r="I265">
            <v>6.8921073888042939</v>
          </cell>
          <cell r="J265">
            <v>5.1263703690719282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1689.2933158548899</v>
          </cell>
          <cell r="F266">
            <v>1911.53680758418</v>
          </cell>
          <cell r="G266">
            <v>1966.92300489289</v>
          </cell>
          <cell r="H266">
            <v>2030.50398871059</v>
          </cell>
          <cell r="I266">
            <v>1789.27157229166</v>
          </cell>
          <cell r="J266">
            <v>1330.86561960986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18.203591765677654</v>
          </cell>
          <cell r="F267">
            <v>20.598456978277838</v>
          </cell>
          <cell r="G267">
            <v>21.195291001000978</v>
          </cell>
          <cell r="H267">
            <v>21.880430912829709</v>
          </cell>
          <cell r="I267">
            <v>19.280943666935947</v>
          </cell>
          <cell r="J267">
            <v>14.34122434924412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2.9940945648049399E-7</v>
          </cell>
          <cell r="G268">
            <v>1.31134759419209E-6</v>
          </cell>
          <cell r="H268">
            <v>8.0340926101643298E-2</v>
          </cell>
          <cell r="I268">
            <v>3.2663327356920399E-7</v>
          </cell>
          <cell r="J268">
            <v>3.2801884193861298E-3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0.28264587392292551</v>
          </cell>
          <cell r="F269">
            <v>0.28264220590157774</v>
          </cell>
          <cell r="G269">
            <v>0.28264269916925777</v>
          </cell>
          <cell r="H269">
            <v>0.29177925434341417</v>
          </cell>
          <cell r="I269">
            <v>0.27827898235717258</v>
          </cell>
          <cell r="J269">
            <v>0.20404373126612765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0.43672663223574698</v>
          </cell>
          <cell r="F270">
            <v>0.55206543791269702</v>
          </cell>
          <cell r="G270">
            <v>2.8269147152373924</v>
          </cell>
          <cell r="H270">
            <v>2.8269202548216881</v>
          </cell>
          <cell r="I270">
            <v>6.0466041242177466</v>
          </cell>
          <cell r="J270">
            <v>6.04661235613138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0.43672663223574698</v>
          </cell>
          <cell r="F271">
            <v>0.55206543791269702</v>
          </cell>
          <cell r="G271">
            <v>2.8269147152373924</v>
          </cell>
          <cell r="H271">
            <v>2.8269202548216881</v>
          </cell>
          <cell r="I271">
            <v>6.0466041242177466</v>
          </cell>
          <cell r="J271">
            <v>6.04661235613138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3.5929223664602463</v>
          </cell>
          <cell r="F272">
            <v>3.2445836766347393</v>
          </cell>
          <cell r="G272">
            <v>2.7834004732165627</v>
          </cell>
          <cell r="H272">
            <v>2.1574548062902847</v>
          </cell>
          <cell r="I272">
            <v>2.1857616077954245</v>
          </cell>
          <cell r="J272">
            <v>5.1012680974625635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3.5929223664602463</v>
          </cell>
          <cell r="F273">
            <v>3.2445836766347393</v>
          </cell>
          <cell r="G273">
            <v>2.7834004732165627</v>
          </cell>
          <cell r="H273">
            <v>2.1574548062902847</v>
          </cell>
          <cell r="I273">
            <v>2.1857616077954245</v>
          </cell>
          <cell r="J273">
            <v>5.1012680974625635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2.5149444409084341</v>
          </cell>
          <cell r="F274">
            <v>2.2697375544975698</v>
          </cell>
          <cell r="G274">
            <v>1.9460166239327568</v>
          </cell>
          <cell r="H274">
            <v>1.5057911814384399</v>
          </cell>
          <cell r="I274">
            <v>0.90157431094377727</v>
          </cell>
          <cell r="J274">
            <v>0.53980636056573594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3.5927777727263388</v>
          </cell>
          <cell r="F275">
            <v>3.2424822207108157</v>
          </cell>
          <cell r="G275">
            <v>2.7800237484753647</v>
          </cell>
          <cell r="H275">
            <v>2.1511302591977706</v>
          </cell>
          <cell r="I275">
            <v>1.287963301348253</v>
          </cell>
          <cell r="J275">
            <v>0.77115194366533613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0.31899574427330601</v>
          </cell>
          <cell r="F276">
            <v>1.2796321955444499E-6</v>
          </cell>
          <cell r="G276">
            <v>1.23980138016553E-6</v>
          </cell>
          <cell r="H276">
            <v>1.2983461758424399E-6</v>
          </cell>
          <cell r="I276">
            <v>2.7411476465166798E-3</v>
          </cell>
          <cell r="J276">
            <v>7.6982282675576705E-2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0.31899574427330601</v>
          </cell>
          <cell r="F277">
            <v>0.318997023905502</v>
          </cell>
          <cell r="G277">
            <v>0.318998263706882</v>
          </cell>
          <cell r="H277">
            <v>0.31899956205305802</v>
          </cell>
          <cell r="I277">
            <v>0.11437966201562701</v>
          </cell>
          <cell r="J277">
            <v>7.9732620914476707E-2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4.11453410524278E-2</v>
          </cell>
          <cell r="J278">
            <v>7.618771309468122E-4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3.7587708818888999</v>
          </cell>
          <cell r="J279">
            <v>8.0859129428292903E-2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6.6644873792356382E-2</v>
          </cell>
          <cell r="J280">
            <v>1.4336725075938465E-3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2.5022529636189398E-3</v>
          </cell>
          <cell r="J281">
            <v>2.0228314712343435E-4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2.5022529636189398E-3</v>
          </cell>
          <cell r="J282">
            <v>2.8777431582835902E-7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2.5022529636189398E-3</v>
          </cell>
          <cell r="J283">
            <v>2.0228314712342991E-4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1522.6009704358901</v>
          </cell>
          <cell r="F284">
            <v>1528.09375879657</v>
          </cell>
          <cell r="G284">
            <v>1285.13384332693</v>
          </cell>
          <cell r="H284">
            <v>984.03670794196296</v>
          </cell>
          <cell r="I284">
            <v>550.59213618772105</v>
          </cell>
          <cell r="J284">
            <v>200.99058812268399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27.215203926982579</v>
          </cell>
          <cell r="F285">
            <v>28.48868049719249</v>
          </cell>
          <cell r="G285">
            <v>23.875925191253689</v>
          </cell>
          <cell r="H285">
            <v>20.301488278369057</v>
          </cell>
          <cell r="I285">
            <v>10.836094381232114</v>
          </cell>
          <cell r="J285">
            <v>6.6507514631163849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26.996471107019321</v>
          </cell>
          <cell r="F286">
            <v>27.093860971570358</v>
          </cell>
          <cell r="G286">
            <v>22.786061051895903</v>
          </cell>
          <cell r="H286">
            <v>17.447459360673097</v>
          </cell>
          <cell r="I286">
            <v>9.7622719182219964</v>
          </cell>
          <cell r="J286">
            <v>3.563662909976673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0.30567504352149838</v>
          </cell>
          <cell r="F287">
            <v>1.4858300223765049</v>
          </cell>
          <cell r="G287">
            <v>1.1580587710950494</v>
          </cell>
          <cell r="H287">
            <v>2.327189482761844</v>
          </cell>
          <cell r="I287">
            <v>1.0778403188998869</v>
          </cell>
          <cell r="J287">
            <v>2.9264676047181148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8.0798665618129744E-3</v>
          </cell>
          <cell r="H288">
            <v>0.59176061619126319</v>
          </cell>
          <cell r="I288">
            <v>3.0855174678974348E-2</v>
          </cell>
          <cell r="J288">
            <v>0.18202972854349139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6.20462874602135E-7</v>
          </cell>
          <cell r="F289">
            <v>1.66990401111384E-7</v>
          </cell>
          <cell r="G289">
            <v>2.7728721495064199E-7</v>
          </cell>
          <cell r="H289">
            <v>2.76510477870208E-7</v>
          </cell>
          <cell r="I289">
            <v>6.82929337374226E-7</v>
          </cell>
          <cell r="J289">
            <v>1.2179410748087301E-6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2.2350528220880146</v>
          </cell>
          <cell r="F290">
            <v>2.2350529890784161</v>
          </cell>
          <cell r="G290">
            <v>2.2350532663656311</v>
          </cell>
          <cell r="H290">
            <v>2.2350535428761087</v>
          </cell>
          <cell r="I290">
            <v>2.2350547657949869</v>
          </cell>
          <cell r="J290">
            <v>1.1208942845997814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4.3866300826827815E-4</v>
          </cell>
          <cell r="I291">
            <v>7.7888901828921753E-4</v>
          </cell>
          <cell r="J291">
            <v>3.0906707838650763E-4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1.1842005419059776E-3</v>
          </cell>
          <cell r="I292">
            <v>2.0157767998044444E-3</v>
          </cell>
          <cell r="J292">
            <v>7.6812948100322303E-4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2.3000854583490838E-3</v>
          </cell>
          <cell r="I293">
            <v>3.7327568855486473E-3</v>
          </cell>
          <cell r="J293">
            <v>1.3638738199616002E-3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3.90657803411096E-5</v>
          </cell>
          <cell r="I294">
            <v>3.0064427554157801E-5</v>
          </cell>
          <cell r="J294">
            <v>5.7423745406533098E-7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3.90657803411096E-5</v>
          </cell>
          <cell r="I295">
            <v>6.9310391901501741E-5</v>
          </cell>
          <cell r="J295">
            <v>2.7684964874134076E-5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12.519604403874663</v>
          </cell>
          <cell r="F296">
            <v>14.833130075418667</v>
          </cell>
          <cell r="G296">
            <v>14.958790454227298</v>
          </cell>
          <cell r="H296">
            <v>17.115332151681507</v>
          </cell>
          <cell r="I296">
            <v>18.971884894453801</v>
          </cell>
          <cell r="J296">
            <v>18.220820531855409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4.1228649820663224E-4</v>
          </cell>
          <cell r="F297">
            <v>4.5328791072876623E-3</v>
          </cell>
          <cell r="G297">
            <v>9.4081765892977745E-3</v>
          </cell>
          <cell r="H297">
            <v>4.6223260584391168E-3</v>
          </cell>
          <cell r="I297">
            <v>0.89831955188051493</v>
          </cell>
          <cell r="J297">
            <v>6.5386761075594633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21.85551469083963</v>
          </cell>
          <cell r="F298">
            <v>19.068645226348718</v>
          </cell>
          <cell r="G298">
            <v>18.028206808496204</v>
          </cell>
          <cell r="H298">
            <v>19.029585107583088</v>
          </cell>
          <cell r="I298">
            <v>20.302337961993899</v>
          </cell>
          <cell r="J298">
            <v>21.022543059188592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11.008932275557862</v>
          </cell>
          <cell r="F299">
            <v>14.857454330630452</v>
          </cell>
          <cell r="G299">
            <v>14.502171965160382</v>
          </cell>
          <cell r="H299">
            <v>16.141458659896045</v>
          </cell>
          <cell r="I299">
            <v>17.252783118978979</v>
          </cell>
          <cell r="J299">
            <v>15.703723329689511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22.623350957211745</v>
          </cell>
          <cell r="F300">
            <v>17.888781890695082</v>
          </cell>
          <cell r="G300">
            <v>16.099395711862776</v>
          </cell>
          <cell r="H300">
            <v>18.260570383584319</v>
          </cell>
          <cell r="I300">
            <v>20.064064442100143</v>
          </cell>
          <cell r="J300">
            <v>17.941582896899842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68.007797711663656</v>
          </cell>
          <cell r="F301">
            <v>66.65254440220022</v>
          </cell>
          <cell r="G301">
            <v>63.597973116335972</v>
          </cell>
          <cell r="H301">
            <v>70.551568628803366</v>
          </cell>
          <cell r="I301">
            <v>77.489389969407384</v>
          </cell>
          <cell r="J301">
            <v>79.427345925192824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9.0907870669872897E-8</v>
          </cell>
          <cell r="F302">
            <v>9.5396732661336694E-8</v>
          </cell>
          <cell r="G302">
            <v>1.0952026643649E-7</v>
          </cell>
          <cell r="H302">
            <v>3.3830021337537301E-7</v>
          </cell>
          <cell r="I302">
            <v>1.20936497086625E-7</v>
          </cell>
          <cell r="J302">
            <v>2.14122156430963E-7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4.3300925438402569</v>
          </cell>
          <cell r="G303">
            <v>4.3300927005873335</v>
          </cell>
          <cell r="H303">
            <v>4.3300929962367709</v>
          </cell>
          <cell r="I303">
            <v>4.3300933301828364</v>
          </cell>
          <cell r="J303">
            <v>4.3300935513324257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93.991452167383997</v>
          </cell>
          <cell r="F304">
            <v>98.073895448634104</v>
          </cell>
          <cell r="G304">
            <v>0.69223088837983304</v>
          </cell>
          <cell r="H304">
            <v>17.5744126580705</v>
          </cell>
          <cell r="I304">
            <v>0.224183637874837</v>
          </cell>
          <cell r="J304">
            <v>3.4822378414647602E-2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0.5944011839259391</v>
          </cell>
          <cell r="F305">
            <v>0.62591862453204883</v>
          </cell>
          <cell r="G305">
            <v>3.2001399325024939E-3</v>
          </cell>
          <cell r="H305">
            <v>6.9117084963423012E-4</v>
          </cell>
          <cell r="I305">
            <v>1.250069801012611E-3</v>
          </cell>
          <cell r="J305">
            <v>1.8597772552654318E-4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0.69258011465227254</v>
          </cell>
          <cell r="F306">
            <v>0.75026083602534732</v>
          </cell>
          <cell r="G306">
            <v>3.996589571128739E-3</v>
          </cell>
          <cell r="H306">
            <v>9.210448875863449E-4</v>
          </cell>
          <cell r="I306">
            <v>1.8751047015189153E-3</v>
          </cell>
          <cell r="J306">
            <v>2.7896658828981477E-4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1.6665151093507808</v>
          </cell>
          <cell r="F307">
            <v>1.7388988554722378</v>
          </cell>
          <cell r="G307">
            <v>1.2273597311699153E-2</v>
          </cell>
          <cell r="H307">
            <v>0.31160306131330745</v>
          </cell>
          <cell r="I307">
            <v>3.9748871963623663E-3</v>
          </cell>
          <cell r="J307">
            <v>6.1741805699729892E-4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2.7171181544655001E-2</v>
          </cell>
          <cell r="G308">
            <v>2.0997734592505499E-7</v>
          </cell>
          <cell r="H308">
            <v>6.4458997859343499E-7</v>
          </cell>
          <cell r="I308">
            <v>5.3570360045876201E-5</v>
          </cell>
          <cell r="J308">
            <v>8.6929931972921299E-8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6.5199820927239416E-2</v>
          </cell>
          <cell r="F309">
            <v>4.787691286783094E-2</v>
          </cell>
          <cell r="G309">
            <v>5.1949280243829971E-4</v>
          </cell>
          <cell r="H309">
            <v>1.1273175309449435E-4</v>
          </cell>
          <cell r="I309">
            <v>1.1302591193780055E-4</v>
          </cell>
          <cell r="J309">
            <v>3.0256286769510498E-5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0.62578816168411933</v>
          </cell>
          <cell r="F310">
            <v>0.73757359393042432</v>
          </cell>
          <cell r="G310">
            <v>0.73850156567872249</v>
          </cell>
          <cell r="H310">
            <v>0.73644775876674984</v>
          </cell>
          <cell r="I310">
            <v>0.73236019332500135</v>
          </cell>
          <cell r="J310">
            <v>0.72832055445824673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0.62578816168411933</v>
          </cell>
          <cell r="F311">
            <v>0.73757359393042432</v>
          </cell>
          <cell r="G311">
            <v>0.73850156567872249</v>
          </cell>
          <cell r="H311">
            <v>0.73644775876674984</v>
          </cell>
          <cell r="I311">
            <v>0.73236019332500135</v>
          </cell>
          <cell r="J311">
            <v>0.72832055445824673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4.8776467732305766E-6</v>
          </cell>
          <cell r="F312">
            <v>1.6884480769899788E-3</v>
          </cell>
          <cell r="G312">
            <v>5.5856366185650609E-3</v>
          </cell>
          <cell r="H312">
            <v>2.4576541388462159E-3</v>
          </cell>
          <cell r="I312">
            <v>3.3538134335797014E-3</v>
          </cell>
          <cell r="J312">
            <v>0.11580602197551786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4.8776467732305664E-6</v>
          </cell>
          <cell r="F313">
            <v>1.6895737090413031E-3</v>
          </cell>
          <cell r="G313">
            <v>5.5914549900427284E-3</v>
          </cell>
          <cell r="H313">
            <v>2.4576541388462159E-3</v>
          </cell>
          <cell r="I313">
            <v>3.3538134335796893E-3</v>
          </cell>
          <cell r="J313">
            <v>0.11580602197551768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4.7998065285726978E-6</v>
          </cell>
          <cell r="F314">
            <v>2.2229362979353587E-3</v>
          </cell>
          <cell r="G314">
            <v>7.2158197242614399E-3</v>
          </cell>
          <cell r="H314">
            <v>3.0713721600256132E-3</v>
          </cell>
          <cell r="I314">
            <v>3.9463636538309551E-3</v>
          </cell>
          <cell r="J314">
            <v>0.1286733626949681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4.7998065285726978E-6</v>
          </cell>
          <cell r="F315">
            <v>2.2229362979353587E-3</v>
          </cell>
          <cell r="G315">
            <v>7.2158197242614399E-3</v>
          </cell>
          <cell r="H315">
            <v>3.0713721600256132E-3</v>
          </cell>
          <cell r="I315">
            <v>3.9463636538309551E-3</v>
          </cell>
          <cell r="J315">
            <v>0.1286733626949681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1.8903242895522399E-4</v>
          </cell>
          <cell r="F316">
            <v>5.4799318832911697E-6</v>
          </cell>
          <cell r="G316">
            <v>3.98340562785813E-6</v>
          </cell>
          <cell r="H316">
            <v>2.9416269026317598E-6</v>
          </cell>
          <cell r="I316">
            <v>1.10061383490132E-4</v>
          </cell>
          <cell r="J316">
            <v>4.5915637283956597E-2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3.540083879788261E-4</v>
          </cell>
          <cell r="F317">
            <v>3.5741169906569224E-4</v>
          </cell>
          <cell r="G317">
            <v>3.5843608837062463E-4</v>
          </cell>
          <cell r="H317">
            <v>2.4966825662296049E-4</v>
          </cell>
          <cell r="I317">
            <v>2.397579328919497E-4</v>
          </cell>
          <cell r="J317">
            <v>4.6079738792616246E-2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0.9293460171680572</v>
          </cell>
          <cell r="F318">
            <v>2.0701600906023936</v>
          </cell>
          <cell r="G318">
            <v>3.7064619917571984E-2</v>
          </cell>
          <cell r="H318">
            <v>1.3039144077292872</v>
          </cell>
          <cell r="I318">
            <v>4.0888413227688894E-2</v>
          </cell>
          <cell r="J318">
            <v>1.0059270856719413E-3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7.0502111647231858E-2</v>
          </cell>
          <cell r="F319">
            <v>0.17129559535786562</v>
          </cell>
          <cell r="G319">
            <v>3.5500660924518445E-3</v>
          </cell>
          <cell r="H319">
            <v>0.16935560966217936</v>
          </cell>
          <cell r="I319">
            <v>1.8445457209836109E-2</v>
          </cell>
          <cell r="J319">
            <v>4.5379078204022769E-4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21.850588628436999</v>
          </cell>
          <cell r="F320">
            <v>51.214034007859098</v>
          </cell>
          <cell r="G320">
            <v>1.0972050823324899</v>
          </cell>
          <cell r="H320">
            <v>47.491337258079298</v>
          </cell>
          <cell r="I320">
            <v>5.1953530150790099</v>
          </cell>
          <cell r="J320">
            <v>0.14080913682819601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0.29648017134921301</v>
          </cell>
          <cell r="F321">
            <v>0.69489869752861722</v>
          </cell>
          <cell r="G321">
            <v>1.4887450235176208E-2</v>
          </cell>
          <cell r="H321">
            <v>0.64438720838642272</v>
          </cell>
          <cell r="I321">
            <v>7.0493256649647382E-2</v>
          </cell>
          <cell r="J321">
            <v>1.9105717344395576E-3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7.8333646575115701E-3</v>
          </cell>
          <cell r="G322">
            <v>1.5551305466658799E-6</v>
          </cell>
          <cell r="H322">
            <v>3.4729739266755899E-3</v>
          </cell>
          <cell r="I322">
            <v>3.8643773250871098E-5</v>
          </cell>
          <cell r="J322">
            <v>1.5269090048271799E-4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8.3050769567379629E-3</v>
          </cell>
          <cell r="F323">
            <v>8.7659170370973007E-3</v>
          </cell>
          <cell r="G323">
            <v>8.7659358442592934E-3</v>
          </cell>
          <cell r="H323">
            <v>1.2238286635106396E-2</v>
          </cell>
          <cell r="I323">
            <v>2.4146964874161244E-3</v>
          </cell>
          <cell r="J323">
            <v>1.8233342324364336E-4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29.714400250760889</v>
          </cell>
          <cell r="F324">
            <v>29.714362052347798</v>
          </cell>
          <cell r="G324">
            <v>26.145573955855038</v>
          </cell>
          <cell r="H324">
            <v>28.976998322906741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89.580576109692814</v>
          </cell>
          <cell r="F325">
            <v>89.580460952199545</v>
          </cell>
          <cell r="G325">
            <v>78.821566577777631</v>
          </cell>
          <cell r="H325">
            <v>87.357516281323058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1.01</v>
          </cell>
          <cell r="F326">
            <v>1.01</v>
          </cell>
          <cell r="G326">
            <v>1.01</v>
          </cell>
          <cell r="H326">
            <v>1.01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2662.9055686547999</v>
          </cell>
          <cell r="F327">
            <v>2631.0923342889</v>
          </cell>
          <cell r="G327">
            <v>2564.8375785821599</v>
          </cell>
          <cell r="H327">
            <v>1947.58455195384</v>
          </cell>
          <cell r="I327">
            <v>1172.9939572978899</v>
          </cell>
          <cell r="J327">
            <v>525.636244981804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47.374022024620885</v>
          </cell>
          <cell r="F328">
            <v>48.283039557648536</v>
          </cell>
          <cell r="G328">
            <v>46.899506208570372</v>
          </cell>
          <cell r="H328">
            <v>39.843843074756485</v>
          </cell>
          <cell r="I328">
            <v>22.675435192963036</v>
          </cell>
          <cell r="J328">
            <v>14.655031529733787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47.214637742106476</v>
          </cell>
          <cell r="F329">
            <v>46.650573302994736</v>
          </cell>
          <cell r="G329">
            <v>45.475843591882231</v>
          </cell>
          <cell r="H329">
            <v>34.5316409920894</v>
          </cell>
          <cell r="I329">
            <v>20.797765200317112</v>
          </cell>
          <cell r="J329">
            <v>9.319791577691559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0.31072626123956237</v>
          </cell>
          <cell r="F330">
            <v>1.786712198595876</v>
          </cell>
          <cell r="G330">
            <v>1.5580993546487676</v>
          </cell>
          <cell r="H330">
            <v>4.2648635907399814</v>
          </cell>
          <cell r="I330">
            <v>1.8740896685541271</v>
          </cell>
          <cell r="J330">
            <v>4.9843642003770015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1.5389343243763367E-2</v>
          </cell>
          <cell r="H331">
            <v>1.1746244134774368</v>
          </cell>
          <cell r="I331">
            <v>7.6019713527066421E-2</v>
          </cell>
          <cell r="J331">
            <v>0.39769300245378325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3.0328559632058098E-7</v>
          </cell>
          <cell r="F332">
            <v>1.08361357588754E-7</v>
          </cell>
          <cell r="G332">
            <v>1.9164760866825E-7</v>
          </cell>
          <cell r="H332">
            <v>9.5630860497183498E-8</v>
          </cell>
          <cell r="I332">
            <v>2.1060223682405099E-7</v>
          </cell>
          <cell r="J332">
            <v>7.2847807862809397E-7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3.0972403106815163</v>
          </cell>
          <cell r="F333">
            <v>3.0972404190428739</v>
          </cell>
          <cell r="G333">
            <v>3.0972406106904828</v>
          </cell>
          <cell r="H333">
            <v>3.097240706321343</v>
          </cell>
          <cell r="I333">
            <v>3.0972410665599255</v>
          </cell>
          <cell r="J333">
            <v>1.553284035678304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1.7671172755303201E-2</v>
          </cell>
          <cell r="I334">
            <v>4.7521691659968501E-2</v>
          </cell>
          <cell r="J334">
            <v>2.8874972905018E-2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1.3159383966715175E-4</v>
          </cell>
          <cell r="I335">
            <v>3.7073660160259097E-4</v>
          </cell>
          <cell r="J335">
            <v>2.3038542211450513E-4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1.4738510042721013E-4</v>
          </cell>
          <cell r="I336">
            <v>3.9298079769874611E-4</v>
          </cell>
          <cell r="J336">
            <v>2.3038542211450513E-4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3.1331866587417105E-4</v>
          </cell>
          <cell r="I337">
            <v>8.425831854604346E-4</v>
          </cell>
          <cell r="J337">
            <v>5.1196760469890011E-4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1.18038593152564E-5</v>
          </cell>
          <cell r="I338">
            <v>4.9330344625546997E-6</v>
          </cell>
          <cell r="J338">
            <v>3.15115830549451E-7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1.18038593152564E-5</v>
          </cell>
          <cell r="I339">
            <v>3.2785285262481732E-5</v>
          </cell>
          <cell r="J339">
            <v>2.1052820433942952E-5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0.67790625238061841</v>
          </cell>
          <cell r="I340">
            <v>0.34938203165887655</v>
          </cell>
          <cell r="J340">
            <v>0.16505756724101761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0.90692863494163811</v>
          </cell>
          <cell r="I341">
            <v>0.58230338609812793</v>
          </cell>
          <cell r="J341">
            <v>0.330115134482035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1.8321790604881574</v>
          </cell>
          <cell r="I342">
            <v>1.0587334292693233</v>
          </cell>
          <cell r="J342">
            <v>0.55019189080339193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0.117613569355894</v>
          </cell>
          <cell r="I343">
            <v>4.9013695713971501E-7</v>
          </cell>
          <cell r="J343">
            <v>3.4907713243710899E-2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0.117613569355894</v>
          </cell>
          <cell r="I344">
            <v>8.0324549682141297E-2</v>
          </cell>
          <cell r="J344">
            <v>3.4908204100255379E-2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12.79781161927515</v>
          </cell>
          <cell r="F345">
            <v>13.75019693301404</v>
          </cell>
          <cell r="G345">
            <v>21.610066737432902</v>
          </cell>
          <cell r="H345">
            <v>24.188151206202903</v>
          </cell>
          <cell r="I345">
            <v>22.037808252638918</v>
          </cell>
          <cell r="J345">
            <v>22.318604007231414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11.813364571638601</v>
          </cell>
          <cell r="F346">
            <v>13.746298218306979</v>
          </cell>
          <cell r="G346">
            <v>21.601695756611242</v>
          </cell>
          <cell r="H346">
            <v>17.003551838023817</v>
          </cell>
          <cell r="I346">
            <v>11.50503224953944</v>
          </cell>
          <cell r="J346">
            <v>10.241131585596708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0.98444704763654944</v>
          </cell>
          <cell r="F347">
            <v>3.8987147070517793E-3</v>
          </cell>
          <cell r="G347">
            <v>8.3709808216472607E-3</v>
          </cell>
          <cell r="H347">
            <v>7.1845993681790796</v>
          </cell>
          <cell r="I347">
            <v>10.532776003099471</v>
          </cell>
          <cell r="J347">
            <v>12.07747242163472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2.1860235167044801E-7</v>
          </cell>
          <cell r="F348">
            <v>2.3208303025625E-7</v>
          </cell>
          <cell r="G348">
            <v>2.7727760547558698E-7</v>
          </cell>
          <cell r="H348">
            <v>3.8417817124273902E-7</v>
          </cell>
          <cell r="I348">
            <v>2.9173451958152101E-7</v>
          </cell>
          <cell r="J348">
            <v>4.8456392436636397E-7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0.86351887734956601</v>
          </cell>
          <cell r="G349">
            <v>0.86351925695919896</v>
          </cell>
          <cell r="H349">
            <v>0.86351974560753941</v>
          </cell>
          <cell r="I349">
            <v>0.86352036664863097</v>
          </cell>
          <cell r="J349">
            <v>0.86352087647604359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>
            <v>2.6449326758615976E-6</v>
          </cell>
          <cell r="F350">
            <v>1.4707297470973303E-4</v>
          </cell>
          <cell r="G350">
            <v>7.7756151325741749</v>
          </cell>
          <cell r="H350">
            <v>8.8602934872443981</v>
          </cell>
          <cell r="I350">
            <v>13.364600618169641</v>
          </cell>
          <cell r="J350">
            <v>99.587755255504277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>
            <v>2.6449326758616035E-6</v>
          </cell>
          <cell r="F351">
            <v>1.4719318761371064E-4</v>
          </cell>
          <cell r="G351">
            <v>7.7855456755276524</v>
          </cell>
          <cell r="H351">
            <v>8.8602934872443804</v>
          </cell>
          <cell r="I351">
            <v>13.364600618169625</v>
          </cell>
          <cell r="J351">
            <v>99.587755255504248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>
            <v>4.3032084493117134E-6</v>
          </cell>
          <cell r="F352">
            <v>1.775103489808101E-4</v>
          </cell>
          <cell r="G352">
            <v>9.2685032906453895</v>
          </cell>
          <cell r="H352">
            <v>10.184244234482364</v>
          </cell>
          <cell r="I352">
            <v>14.370538044522185</v>
          </cell>
          <cell r="J352">
            <v>100.59369276026659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>
            <v>4.3032084493117134E-6</v>
          </cell>
          <cell r="F353">
            <v>1.775103489808101E-4</v>
          </cell>
          <cell r="G353">
            <v>9.2685032906453895</v>
          </cell>
          <cell r="H353">
            <v>10.184244234482364</v>
          </cell>
          <cell r="I353">
            <v>14.370538044522185</v>
          </cell>
          <cell r="J353">
            <v>100.59369276026659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3.4407393731999102E-3</v>
          </cell>
          <cell r="F354">
            <v>4.7043229822016903E-5</v>
          </cell>
          <cell r="G354">
            <v>0.48568109295969403</v>
          </cell>
          <cell r="H354">
            <v>6.6337727948712094E-2</v>
          </cell>
          <cell r="I354">
            <v>0.60005761892925402</v>
          </cell>
          <cell r="J354">
            <v>5.7093694780898003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3.4407393731999102E-3</v>
          </cell>
          <cell r="F355">
            <v>3.4837659280214446E-3</v>
          </cell>
          <cell r="G355">
            <v>0.4891511673700783</v>
          </cell>
          <cell r="H355">
            <v>0.5554699648641126</v>
          </cell>
          <cell r="I355">
            <v>0.83392316668852506</v>
          </cell>
          <cell r="J355">
            <v>6.1882238491701624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2.6901317860576915E-5</v>
          </cell>
          <cell r="F356">
            <v>2.0458170051122434E-5</v>
          </cell>
          <cell r="G356">
            <v>2.08965594111352E-5</v>
          </cell>
          <cell r="H356">
            <v>6.2530964199346735E-3</v>
          </cell>
          <cell r="I356">
            <v>1.1026045639117136E-2</v>
          </cell>
          <cell r="J356">
            <v>4.7185864094638978E-2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2.6901317860576973E-5</v>
          </cell>
          <cell r="F357">
            <v>2.0474891927026303E-5</v>
          </cell>
          <cell r="G357">
            <v>2.0923247226475097E-5</v>
          </cell>
          <cell r="H357">
            <v>6.2530964199346631E-3</v>
          </cell>
          <cell r="I357">
            <v>1.1026045639117122E-2</v>
          </cell>
          <cell r="J357">
            <v>4.7185864094638964E-2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2.6901317860576973E-5</v>
          </cell>
          <cell r="F358">
            <v>2.0474891927026303E-5</v>
          </cell>
          <cell r="G358">
            <v>2.0923247226475097E-5</v>
          </cell>
          <cell r="H358">
            <v>7.186428310011911E-3</v>
          </cell>
          <cell r="I358">
            <v>1.1856251768905871E-2</v>
          </cell>
          <cell r="J358">
            <v>4.7662796430629109E-2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2.6901317860576973E-5</v>
          </cell>
          <cell r="F359">
            <v>2.0474891927026303E-5</v>
          </cell>
          <cell r="G359">
            <v>2.0923247226475097E-5</v>
          </cell>
          <cell r="H359">
            <v>7.186428310011911E-3</v>
          </cell>
          <cell r="I359">
            <v>1.1856251768905871E-2</v>
          </cell>
          <cell r="J359">
            <v>4.7662796430629109E-2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1.35712688934892E-3</v>
          </cell>
          <cell r="F360">
            <v>3.9957174985786898E-5</v>
          </cell>
          <cell r="G360">
            <v>6.1811557977145196E-5</v>
          </cell>
          <cell r="H360">
            <v>5.6660980514006003E-5</v>
          </cell>
          <cell r="I360">
            <v>1.18864720228914E-4</v>
          </cell>
          <cell r="J360">
            <v>2.0405523799908402E-3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1.35712688934892E-3</v>
          </cell>
          <cell r="F361">
            <v>1.3930415163180328E-3</v>
          </cell>
          <cell r="G361">
            <v>1.4443182072067246E-3</v>
          </cell>
          <cell r="H361">
            <v>1.4801885818806616E-3</v>
          </cell>
          <cell r="I361">
            <v>2.0831563025637948E-3</v>
          </cell>
          <cell r="J361">
            <v>2.9351037494615797E-3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213.78049979206901</v>
          </cell>
          <cell r="F362">
            <v>0.10118425737699201</v>
          </cell>
          <cell r="G362">
            <v>0.118506358641328</v>
          </cell>
          <cell r="H362">
            <v>1.0159403058812799</v>
          </cell>
          <cell r="I362">
            <v>0.124938563742895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2.730001510476991</v>
          </cell>
          <cell r="F363">
            <v>1.2921345760925566E-3</v>
          </cell>
          <cell r="G363">
            <v>1.5133397966915719E-3</v>
          </cell>
          <cell r="H363">
            <v>1.2973674270141426E-2</v>
          </cell>
          <cell r="I363">
            <v>1.5954797938384419E-3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2.7763701271697321</v>
          </cell>
          <cell r="F364">
            <v>1.3140812646362577E-3</v>
          </cell>
          <cell r="G364">
            <v>1.5390436187185423E-3</v>
          </cell>
          <cell r="H364">
            <v>1.3194029946510132E-2</v>
          </cell>
          <cell r="I364">
            <v>1.6225787499077309E-3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0.25805103354054099</v>
          </cell>
          <cell r="G365">
            <v>0.576474105799618</v>
          </cell>
          <cell r="H365">
            <v>4.5053824792659096</v>
          </cell>
          <cell r="I365">
            <v>20.288559448464898</v>
          </cell>
          <cell r="J365">
            <v>5.28532277387452E-2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1.2836322953175079E-3</v>
          </cell>
          <cell r="G366">
            <v>2.2395188191606393E-3</v>
          </cell>
          <cell r="H366">
            <v>5.6302582958850942E-4</v>
          </cell>
          <cell r="I366">
            <v>0.10955014529831805</v>
          </cell>
          <cell r="J366">
            <v>2.5092047942890447E-4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2.761432418294543E-3</v>
          </cell>
          <cell r="G367">
            <v>4.7467502327956596E-3</v>
          </cell>
          <cell r="H367">
            <v>1.1635867144829217E-3</v>
          </cell>
          <cell r="I367">
            <v>0.22089619461791993</v>
          </cell>
          <cell r="J367">
            <v>4.9374674984397325E-4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4.5753729351159754E-3</v>
          </cell>
          <cell r="G368">
            <v>1.0221172088645723E-2</v>
          </cell>
          <cell r="H368">
            <v>7.9882668072090657E-2</v>
          </cell>
          <cell r="I368">
            <v>0.35972623135576121</v>
          </cell>
          <cell r="J368">
            <v>9.3711396699902659E-4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1.3566413635190001E-4</v>
          </cell>
          <cell r="G369">
            <v>3.2662880520295301E-5</v>
          </cell>
          <cell r="H369">
            <v>1.4177908031957201E-6</v>
          </cell>
          <cell r="I369">
            <v>8.0061302522874897E-3</v>
          </cell>
          <cell r="J369">
            <v>2.8268396508236598E-7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1.3566413635190001E-4</v>
          </cell>
          <cell r="G370">
            <v>1.6825679521755905E-4</v>
          </cell>
          <cell r="H370">
            <v>1.6930274571154991E-4</v>
          </cell>
          <cell r="I370">
            <v>8.1293829856782917E-3</v>
          </cell>
          <cell r="J370">
            <v>7.5702891687829885E-5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26.492980330511024</v>
          </cell>
          <cell r="F371">
            <v>5.3201580183992198E-4</v>
          </cell>
          <cell r="G371">
            <v>5.6648014142028722E-4</v>
          </cell>
          <cell r="H371">
            <v>4.9475731783191386E-4</v>
          </cell>
          <cell r="I371">
            <v>1.2986102068651157E-3</v>
          </cell>
          <cell r="J371">
            <v>3.9139119713352429E-4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26.492980330511024</v>
          </cell>
          <cell r="F372">
            <v>5.3201580183992198E-4</v>
          </cell>
          <cell r="G372">
            <v>5.6648014142028722E-4</v>
          </cell>
          <cell r="H372">
            <v>4.9475731783191386E-4</v>
          </cell>
          <cell r="I372">
            <v>1.2986102068651157E-3</v>
          </cell>
          <cell r="J372">
            <v>3.9139119713352429E-4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1.60964835875793E-6</v>
          </cell>
          <cell r="F373">
            <v>1.4512878155510601E-6</v>
          </cell>
          <cell r="G373">
            <v>1.8575487190829999E-6</v>
          </cell>
          <cell r="H373">
            <v>3.3302188050466099E-6</v>
          </cell>
          <cell r="I373">
            <v>6.5986269824925603E-6</v>
          </cell>
          <cell r="J373">
            <v>1.05321371900634E-5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4.0267260363541375</v>
          </cell>
          <cell r="F374">
            <v>7.3786055356972469E-4</v>
          </cell>
          <cell r="G374">
            <v>7.3337401713935435E-4</v>
          </cell>
          <cell r="H374">
            <v>7.3002276908251673E-4</v>
          </cell>
          <cell r="I374">
            <v>7.2847516516816313E-4</v>
          </cell>
          <cell r="J374">
            <v>3.7289642612892138E-4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2.4113916493885803E-4</v>
          </cell>
          <cell r="F375">
            <v>3.2362688659373206E-3</v>
          </cell>
          <cell r="G375">
            <v>4.0395061007788237E-3</v>
          </cell>
          <cell r="H375">
            <v>4.6563389553930228E-3</v>
          </cell>
          <cell r="I375">
            <v>1.9422299431321093</v>
          </cell>
          <cell r="J375">
            <v>1.9427853597461857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2.4113916493885744E-4</v>
          </cell>
          <cell r="F376">
            <v>3.2362688659373119E-3</v>
          </cell>
          <cell r="G376">
            <v>4.0395061007788124E-3</v>
          </cell>
          <cell r="H376">
            <v>4.6563389553930098E-3</v>
          </cell>
          <cell r="I376">
            <v>1.9422299431321037</v>
          </cell>
          <cell r="J376">
            <v>1.9427853597461766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2.8457569431598363E-4</v>
          </cell>
          <cell r="F377">
            <v>3.7370205662827435E-3</v>
          </cell>
          <cell r="G377">
            <v>4.6595905094853375E-3</v>
          </cell>
          <cell r="H377">
            <v>5.3712263924286085E-3</v>
          </cell>
          <cell r="I377">
            <v>2.2400722133136011</v>
          </cell>
          <cell r="J377">
            <v>2.2407122566254847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2.8457569431598363E-4</v>
          </cell>
          <cell r="F378">
            <v>3.7370205662827435E-3</v>
          </cell>
          <cell r="G378">
            <v>4.6595905094853375E-3</v>
          </cell>
          <cell r="H378">
            <v>5.3712263924286085E-3</v>
          </cell>
          <cell r="I378">
            <v>2.2400722133136011</v>
          </cell>
          <cell r="J378">
            <v>2.2407122566254847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6.4756277090413097E-4</v>
          </cell>
          <cell r="F379">
            <v>2.0321294153612999E-6</v>
          </cell>
          <cell r="G379">
            <v>4.7574645596654799E-5</v>
          </cell>
          <cell r="H379">
            <v>2.7448421607280198E-4</v>
          </cell>
          <cell r="I379">
            <v>0.76087737633073704</v>
          </cell>
          <cell r="J379">
            <v>0.69343797511536298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6.4756277090413097E-4</v>
          </cell>
          <cell r="F380">
            <v>6.4920619780450578E-4</v>
          </cell>
          <cell r="G380">
            <v>6.9639261905105629E-4</v>
          </cell>
          <cell r="H380">
            <v>7.9595799047450159E-4</v>
          </cell>
          <cell r="I380">
            <v>1.0738027541642341</v>
          </cell>
          <cell r="J380">
            <v>1.1299277820019316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0.14080235622460482</v>
          </cell>
          <cell r="H381">
            <v>0.23805739434093851</v>
          </cell>
          <cell r="I381">
            <v>1.4212517834725904</v>
          </cell>
          <cell r="J381">
            <v>5.8670657588848485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0.14080235622460482</v>
          </cell>
          <cell r="H382">
            <v>0.23805739434093851</v>
          </cell>
          <cell r="I382">
            <v>1.4212517834725904</v>
          </cell>
          <cell r="J382">
            <v>5.8670657588848485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0.14080235622460499</v>
          </cell>
          <cell r="H383">
            <v>0.238057394340939</v>
          </cell>
          <cell r="I383">
            <v>1.42125178347259</v>
          </cell>
          <cell r="J383">
            <v>5.8670657588848503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4.4924395046386699E-2</v>
          </cell>
          <cell r="H384">
            <v>2.3700502313434599E-2</v>
          </cell>
          <cell r="I384">
            <v>0.17054056886470501</v>
          </cell>
          <cell r="J384">
            <v>1.37870425945125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4.4924395046386699E-2</v>
          </cell>
          <cell r="H385">
            <v>6.8624897359821302E-2</v>
          </cell>
          <cell r="I385">
            <v>0.40970553541791399</v>
          </cell>
          <cell r="J385">
            <v>1.6913044208816601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0.12200263081486133</v>
          </cell>
          <cell r="F386">
            <v>2.7434150919509342E-4</v>
          </cell>
          <cell r="G386">
            <v>4.7768707031069987E-3</v>
          </cell>
          <cell r="H386">
            <v>1.3060907827690904E-3</v>
          </cell>
          <cell r="I386">
            <v>1.1920716702396745E-2</v>
          </cell>
          <cell r="J386">
            <v>1.387634569622467E-3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0.12200263081486161</v>
          </cell>
          <cell r="F387">
            <v>2.7415873670395829E-4</v>
          </cell>
          <cell r="G387">
            <v>4.7718999739674531E-3</v>
          </cell>
          <cell r="H387">
            <v>1.3060907827690904E-3</v>
          </cell>
          <cell r="I387">
            <v>1.1920716702396779E-2</v>
          </cell>
          <cell r="J387">
            <v>1.3876345696224681E-3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0.1626623328147038</v>
          </cell>
          <cell r="F388">
            <v>3.6081710873630076E-4</v>
          </cell>
          <cell r="G388">
            <v>6.1647419925298721E-3</v>
          </cell>
          <cell r="H388">
            <v>1.6336550025909226E-3</v>
          </cell>
          <cell r="I388">
            <v>1.4025428583052056E-2</v>
          </cell>
          <cell r="J388">
            <v>1.5428540479468275E-3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0.1626623328147038</v>
          </cell>
          <cell r="F389">
            <v>3.6081710873630076E-4</v>
          </cell>
          <cell r="G389">
            <v>6.1647419925298721E-3</v>
          </cell>
          <cell r="H389">
            <v>1.6336550025909226E-3</v>
          </cell>
          <cell r="I389">
            <v>1.4025428583052056E-2</v>
          </cell>
          <cell r="J389">
            <v>1.5428540479468275E-3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8.7985668747805699E-3</v>
          </cell>
          <cell r="F390">
            <v>5.93993431278687E-5</v>
          </cell>
          <cell r="G390">
            <v>5.7862452931258501E-5</v>
          </cell>
          <cell r="H390">
            <v>3.5369211675698901E-5</v>
          </cell>
          <cell r="I390">
            <v>4.5815673117279299E-3</v>
          </cell>
          <cell r="J390">
            <v>6.7304226374487804E-5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8.7985668747805699E-3</v>
          </cell>
          <cell r="F391">
            <v>7.2180659530939294E-3</v>
          </cell>
          <cell r="G391">
            <v>6.9056157009268707E-3</v>
          </cell>
          <cell r="H391">
            <v>4.8040233186908404E-3</v>
          </cell>
          <cell r="I391">
            <v>8.8075268585422039E-3</v>
          </cell>
          <cell r="J391">
            <v>3.0308844037649496E-3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3.3668867114946418E-5</v>
          </cell>
          <cell r="G392">
            <v>7.5669377568480384E-2</v>
          </cell>
          <cell r="H392">
            <v>8.8722266903414129E-2</v>
          </cell>
          <cell r="I392">
            <v>0.10150442300386084</v>
          </cell>
          <cell r="J392">
            <v>0.11280737397270864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3.3668867114946418E-5</v>
          </cell>
          <cell r="G393">
            <v>7.5669377568480384E-2</v>
          </cell>
          <cell r="H393">
            <v>8.8722266903414129E-2</v>
          </cell>
          <cell r="I393">
            <v>0.10150442300386084</v>
          </cell>
          <cell r="J393">
            <v>0.11280737397270864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3.3668867114946398E-5</v>
          </cell>
          <cell r="G394">
            <v>7.5669377568480398E-2</v>
          </cell>
          <cell r="H394">
            <v>8.8722266903414199E-2</v>
          </cell>
          <cell r="I394">
            <v>0.10150442300386101</v>
          </cell>
          <cell r="J394">
            <v>0.112807373972709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1.15145851221459E-5</v>
          </cell>
          <cell r="G395">
            <v>2.4131562028045301E-2</v>
          </cell>
          <cell r="H395">
            <v>1.4330392169193901E-3</v>
          </cell>
          <cell r="I395">
            <v>1.4286385073265101E-3</v>
          </cell>
          <cell r="J395">
            <v>2.89156381950493E-2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1.15145851221459E-5</v>
          </cell>
          <cell r="G396">
            <v>2.4143076613167499E-2</v>
          </cell>
          <cell r="H396">
            <v>2.5576115830086801E-2</v>
          </cell>
          <cell r="I396">
            <v>2.9260814842649099E-2</v>
          </cell>
          <cell r="J396">
            <v>3.2519101431109497E-2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0.28617251271023236</v>
          </cell>
          <cell r="F397">
            <v>1.5466557132349542E-3</v>
          </cell>
          <cell r="G397">
            <v>9.989384227387238E-3</v>
          </cell>
          <cell r="H397">
            <v>3.1416750884503387E-3</v>
          </cell>
          <cell r="I397">
            <v>0.29908034234282083</v>
          </cell>
          <cell r="J397">
            <v>0.18856349493607913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0.28617251271023153</v>
          </cell>
          <cell r="F398">
            <v>1.5476868170437755E-3</v>
          </cell>
          <cell r="G398">
            <v>9.9997898359574146E-3</v>
          </cell>
          <cell r="H398">
            <v>3.1416750884503387E-3</v>
          </cell>
          <cell r="I398">
            <v>0.29908034234281994</v>
          </cell>
          <cell r="J398">
            <v>0.18856349493607907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0.38155735375878869</v>
          </cell>
          <cell r="F399">
            <v>2.0406679486384069E-3</v>
          </cell>
          <cell r="G399">
            <v>1.2903992486533403E-2</v>
          </cell>
          <cell r="H399">
            <v>3.9281355086600647E-3</v>
          </cell>
          <cell r="I399">
            <v>0.35186028311589795</v>
          </cell>
          <cell r="J399">
            <v>0.20951603223300236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0.38155735375878869</v>
          </cell>
          <cell r="F400">
            <v>2.0406679486384069E-3</v>
          </cell>
          <cell r="G400">
            <v>1.2903992486533403E-2</v>
          </cell>
          <cell r="H400">
            <v>3.9281355086600647E-3</v>
          </cell>
          <cell r="I400">
            <v>0.35186028311589795</v>
          </cell>
          <cell r="J400">
            <v>0.20951603223300236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1.7520430265179601E-2</v>
          </cell>
          <cell r="F401">
            <v>3.65648762453138E-5</v>
          </cell>
          <cell r="G401">
            <v>3.7704574581021302E-5</v>
          </cell>
          <cell r="H401">
            <v>2.90464670984657E-5</v>
          </cell>
          <cell r="I401">
            <v>3.8850625608367502E-2</v>
          </cell>
          <cell r="J401">
            <v>5.8599118558110099E-5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1.8203545549709342E-2</v>
          </cell>
          <cell r="F402">
            <v>7.1404983634427831E-3</v>
          </cell>
          <cell r="G402">
            <v>6.8971888918322854E-3</v>
          </cell>
          <cell r="H402">
            <v>5.2694401715224961E-3</v>
          </cell>
          <cell r="I402">
            <v>0.25282569991838189</v>
          </cell>
          <cell r="J402">
            <v>0.11869336538842686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4.12085704548859E-4</v>
          </cell>
          <cell r="F403">
            <v>4.5457135292508461E-3</v>
          </cell>
          <cell r="G403">
            <v>9.4711177855730036E-3</v>
          </cell>
          <cell r="H403">
            <v>5.3191150554541848E-3</v>
          </cell>
          <cell r="I403">
            <v>1.5268090175565727</v>
          </cell>
          <cell r="J403">
            <v>9.4816817649982035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59.30355463760489</v>
          </cell>
          <cell r="F404">
            <v>58.231270503882705</v>
          </cell>
          <cell r="G404">
            <v>54.518157402577351</v>
          </cell>
          <cell r="H404">
            <v>52.277317054020749</v>
          </cell>
          <cell r="I404">
            <v>50.790405392360945</v>
          </cell>
          <cell r="J404">
            <v>47.955409129512525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59.303964821584159</v>
          </cell>
          <cell r="F405">
            <v>58.23581621741193</v>
          </cell>
          <cell r="G405">
            <v>54.527628520362931</v>
          </cell>
          <cell r="H405">
            <v>52.28263616907617</v>
          </cell>
          <cell r="I405">
            <v>52.317214409917455</v>
          </cell>
          <cell r="J405">
            <v>57.437090894510803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1.4445006660339501E-7</v>
          </cell>
          <cell r="F406">
            <v>1.52390309321487E-7</v>
          </cell>
          <cell r="G406">
            <v>1.7354224120241899E-7</v>
          </cell>
          <cell r="H406">
            <v>2.1965338472995601E-7</v>
          </cell>
          <cell r="I406">
            <v>3.9933161667946601E-7</v>
          </cell>
          <cell r="J406">
            <v>4.0984893267676601E-7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4.3683889059151051</v>
          </cell>
          <cell r="G407">
            <v>4.3683891557893961</v>
          </cell>
          <cell r="H407">
            <v>4.3683894501825877</v>
          </cell>
          <cell r="I407">
            <v>4.3683900563132925</v>
          </cell>
          <cell r="J407">
            <v>4.3683905666445799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3.4944726491322913E-5</v>
          </cell>
          <cell r="F408">
            <v>3.3071760048918454E-4</v>
          </cell>
          <cell r="G408">
            <v>6.4384533633200347E-4</v>
          </cell>
          <cell r="H408">
            <v>1.5715975892487404E-3</v>
          </cell>
          <cell r="I408">
            <v>0.27389421241763345</v>
          </cell>
          <cell r="J408">
            <v>0.87104349810936244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9.1386915305574615E-5</v>
          </cell>
          <cell r="F409">
            <v>8.6488762055335279E-4</v>
          </cell>
          <cell r="G409">
            <v>1.6837744955844004E-3</v>
          </cell>
          <cell r="H409">
            <v>4.1100180257179252E-3</v>
          </cell>
          <cell r="I409">
            <v>0.71628396345046852</v>
          </cell>
          <cell r="J409">
            <v>2.2779396601932946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1.4459373390830833E-4</v>
          </cell>
          <cell r="F410">
            <v>2.1014559239235764E-3</v>
          </cell>
          <cell r="G410">
            <v>3.3767247411956849E-3</v>
          </cell>
          <cell r="H410">
            <v>6.3245470925136589E-3</v>
          </cell>
          <cell r="I410">
            <v>0.89512530689996939</v>
          </cell>
          <cell r="J410">
            <v>2.8469462987394696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4.9197821826166903E-5</v>
          </cell>
          <cell r="G411">
            <v>5.04296388328951E-5</v>
          </cell>
          <cell r="H411">
            <v>5.4596088841712297E-5</v>
          </cell>
          <cell r="I411">
            <v>1.2612458534955099E-2</v>
          </cell>
          <cell r="J411">
            <v>2.6423492321529098E-2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6.2685382161004055E-6</v>
          </cell>
          <cell r="F412">
            <v>5.4693620675866361E-5</v>
          </cell>
          <cell r="G412">
            <v>1.0474814126336385E-4</v>
          </cell>
          <cell r="H412">
            <v>1.5754203096077224E-4</v>
          </cell>
          <cell r="I412">
            <v>1.274216372190139E-2</v>
          </cell>
          <cell r="J412">
            <v>3.9050694833100801E-2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3.9074735008305817E-3</v>
          </cell>
          <cell r="J413">
            <v>2.7081887569396167E-3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3.9074735008305817E-3</v>
          </cell>
          <cell r="J414">
            <v>2.7081887569396167E-3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4.39250052712378E-4</v>
          </cell>
          <cell r="J415">
            <v>1.4070185953045299E-4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4.3942091487631201E-4</v>
          </cell>
          <cell r="J416">
            <v>2.9115433521801498E-4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124.96955680924009</v>
          </cell>
          <cell r="F417">
            <v>139.77660578054562</v>
          </cell>
          <cell r="G417">
            <v>123.57701733904797</v>
          </cell>
          <cell r="H417">
            <v>131.83650465223616</v>
          </cell>
          <cell r="I417">
            <v>98.375753687883147</v>
          </cell>
          <cell r="J417">
            <v>71.533797966303325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126.28561588285943</v>
          </cell>
          <cell r="F418">
            <v>143.39959232518783</v>
          </cell>
          <cell r="G418">
            <v>126.50490313924985</v>
          </cell>
          <cell r="H418">
            <v>134.4735628942673</v>
          </cell>
          <cell r="I418">
            <v>99.625235073447897</v>
          </cell>
          <cell r="J418">
            <v>71.9274856381425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1.7929587329068099E-7</v>
          </cell>
          <cell r="F419">
            <v>1.93977402495798E-7</v>
          </cell>
          <cell r="G419">
            <v>2.33588221598757E-7</v>
          </cell>
          <cell r="H419">
            <v>3.5305166275498503E-7</v>
          </cell>
          <cell r="I419">
            <v>9.3283453041133899E-7</v>
          </cell>
          <cell r="J419">
            <v>3.0221106541003498E-6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15.305609361658885</v>
          </cell>
          <cell r="I420">
            <v>15.305610143878361</v>
          </cell>
          <cell r="J420">
            <v>15.305611951040033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12.240000235248706</v>
          </cell>
          <cell r="F421">
            <v>12.241539289953767</v>
          </cell>
          <cell r="G421">
            <v>12.246095394461035</v>
          </cell>
          <cell r="H421">
            <v>12.254180633681326</v>
          </cell>
          <cell r="I421">
            <v>12.270423317997258</v>
          </cell>
          <cell r="J421">
            <v>12.286734702719812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12.240000235248706</v>
          </cell>
          <cell r="F422">
            <v>12.241539289953767</v>
          </cell>
          <cell r="G422">
            <v>12.246095394461035</v>
          </cell>
          <cell r="H422">
            <v>12.254180633681326</v>
          </cell>
          <cell r="I422">
            <v>12.270423317997258</v>
          </cell>
          <cell r="J422">
            <v>12.286734702719812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6.2937299700915531E-5</v>
          </cell>
          <cell r="F424">
            <v>7.6779765029228055E-5</v>
          </cell>
          <cell r="G424">
            <v>3.217514933599383E-5</v>
          </cell>
          <cell r="H424">
            <v>1.2583518914776352E-3</v>
          </cell>
          <cell r="I424">
            <v>1.8036686625812609E-3</v>
          </cell>
          <cell r="J424">
            <v>1.4148355969921924E-3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6.2937299700915409E-5</v>
          </cell>
          <cell r="F425">
            <v>7.6830951539247442E-5</v>
          </cell>
          <cell r="G425">
            <v>3.2208665116552133E-5</v>
          </cell>
          <cell r="H425">
            <v>1.2583518914776352E-3</v>
          </cell>
          <cell r="I425">
            <v>1.8036686625812533E-3</v>
          </cell>
          <cell r="J425">
            <v>1.4148355969921915E-3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4.9551718863683207E-5</v>
          </cell>
          <cell r="F426">
            <v>5.9940863087995061E-5</v>
          </cell>
          <cell r="G426">
            <v>2.5780214604370143E-5</v>
          </cell>
          <cell r="H426">
            <v>1.5739792353616962E-3</v>
          </cell>
          <cell r="I426">
            <v>2.1230182755623806E-3</v>
          </cell>
          <cell r="J426">
            <v>1.573077411687229E-3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4.9551718863683207E-5</v>
          </cell>
          <cell r="F427">
            <v>5.9940863087995061E-5</v>
          </cell>
          <cell r="G427">
            <v>2.5780214604370143E-5</v>
          </cell>
          <cell r="H427">
            <v>1.5739792353616962E-3</v>
          </cell>
          <cell r="I427">
            <v>2.1230182755623806E-3</v>
          </cell>
          <cell r="J427">
            <v>1.573077411687229E-3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1.70158728787231E-3</v>
          </cell>
          <cell r="F428">
            <v>4.2260801167385897E-5</v>
          </cell>
          <cell r="G428">
            <v>6.5619742449413604E-5</v>
          </cell>
          <cell r="H428">
            <v>5.2165992560145598E-5</v>
          </cell>
          <cell r="I428">
            <v>1.38160638247479E-4</v>
          </cell>
          <cell r="J428">
            <v>3.1718498549443701E-4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1.70158728787231E-3</v>
          </cell>
          <cell r="F429">
            <v>1.7389433639012233E-3</v>
          </cell>
          <cell r="G429">
            <v>1.7914666301157539E-3</v>
          </cell>
          <cell r="H429">
            <v>1.822723980262658E-3</v>
          </cell>
          <cell r="I429">
            <v>2.3463360614319022E-3</v>
          </cell>
          <cell r="J429">
            <v>1.3286427954483282E-3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0.18407027824645758</v>
          </cell>
          <cell r="F430">
            <v>2.0438462274411058</v>
          </cell>
          <cell r="G430">
            <v>2.4555723226400341E-3</v>
          </cell>
          <cell r="H430">
            <v>1.377191570777184</v>
          </cell>
          <cell r="I430">
            <v>6.3804042544900229E-4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15.8767627673219</v>
          </cell>
          <cell r="F431">
            <v>176.289523735714</v>
          </cell>
          <cell r="G431">
            <v>0.211802468035373</v>
          </cell>
          <cell r="H431">
            <v>118.78801978616301</v>
          </cell>
          <cell r="I431">
            <v>5.50334174931357E-2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0.21542418951590123</v>
          </cell>
          <cell r="F432">
            <v>2.391988110389605</v>
          </cell>
          <cell r="G432">
            <v>2.8738462419996284E-3</v>
          </cell>
          <cell r="H432">
            <v>1.6117777447240593</v>
          </cell>
          <cell r="I432">
            <v>7.4672208267484083E-4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8.7229759446622198E-4</v>
          </cell>
          <cell r="F433">
            <v>0.21879745590552899</v>
          </cell>
          <cell r="G433">
            <v>6.1677942340116599E-6</v>
          </cell>
          <cell r="H433">
            <v>6.2873573039281803E-6</v>
          </cell>
          <cell r="I433">
            <v>2.4778843325379299E-5</v>
          </cell>
          <cell r="J433">
            <v>2.6585815230679202E-4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4.0445053504330461E-2</v>
          </cell>
          <cell r="F434">
            <v>0.25924071775280999</v>
          </cell>
          <cell r="G434">
            <v>0.17490569459914773</v>
          </cell>
          <cell r="H434">
            <v>0.1747035743107378</v>
          </cell>
          <cell r="I434">
            <v>1.7835610934179985E-3</v>
          </cell>
          <cell r="J434">
            <v>2.9892259242472377E-4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0.56996131813081363</v>
          </cell>
          <cell r="I435">
            <v>2.5620414228879524</v>
          </cell>
          <cell r="J435">
            <v>10.224359999043134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2.5964775614328258E-3</v>
          </cell>
          <cell r="I436">
            <v>2.5909996442260684E-3</v>
          </cell>
          <cell r="J436">
            <v>1.4247476088206858E-3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2.5297345452836152E-3</v>
          </cell>
          <cell r="I437">
            <v>2.838828049335735E-3</v>
          </cell>
          <cell r="J437">
            <v>1.5176317253587336E-3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2.3014893666812027E-4</v>
          </cell>
          <cell r="I438">
            <v>1.5160615331804704E-3</v>
          </cell>
          <cell r="J438">
            <v>9.513945277907055E-4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1.4102222196416085E-5</v>
          </cell>
          <cell r="I439">
            <v>3.4400786070356611E-4</v>
          </cell>
          <cell r="J439">
            <v>2.5480693463894615E-4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0.16597809875406566</v>
          </cell>
          <cell r="I440">
            <v>0.75087478245504957</v>
          </cell>
          <cell r="J440">
            <v>3.3927591639501391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8.9047015077210898E-2</v>
          </cell>
          <cell r="I441">
            <v>0.45491368098834334</v>
          </cell>
          <cell r="J441">
            <v>1.7668361413478086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9.3853032807461045E-2</v>
          </cell>
          <cell r="I442">
            <v>0.46622193590232608</v>
          </cell>
          <cell r="J442">
            <v>1.3860194946366504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9.4719823620974405E-2</v>
          </cell>
          <cell r="I443">
            <v>0.50870791871568521</v>
          </cell>
          <cell r="J443">
            <v>1.6964352141656569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1.913870381769271E-3</v>
          </cell>
          <cell r="I444">
            <v>2.4433569882090869E-3</v>
          </cell>
          <cell r="J444">
            <v>2.4974000596196177E-3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1.9618818942036996E-4</v>
          </cell>
          <cell r="I445">
            <v>4.707950100262894E-4</v>
          </cell>
          <cell r="J445">
            <v>7.8292538285529409E-4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0.10158675453342213</v>
          </cell>
          <cell r="I446">
            <v>0.28747031280032082</v>
          </cell>
          <cell r="J446">
            <v>1.9089218122891451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1.629020959791932E-3</v>
          </cell>
          <cell r="I447">
            <v>3.052779643406943E-3</v>
          </cell>
          <cell r="J447">
            <v>1.4159907327166298E-3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2.5892014830255458E-4</v>
          </cell>
          <cell r="I448">
            <v>1.3602010097234182E-2</v>
          </cell>
          <cell r="J448">
            <v>1.0696311030897259E-2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3.7107034118929309E-3</v>
          </cell>
          <cell r="I449">
            <v>5.1408956961974473E-3</v>
          </cell>
          <cell r="J449">
            <v>3.7795542788868785E-3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4.565853289341424E-3</v>
          </cell>
          <cell r="I450">
            <v>9.3881221654349648E-3</v>
          </cell>
          <cell r="J450">
            <v>5.8304600681475301E-3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4.7080797481883997E-3</v>
          </cell>
          <cell r="I451">
            <v>1.0519390916627205E-2</v>
          </cell>
          <cell r="J451">
            <v>9.0609827550287552E-3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1.9802956104293082E-4</v>
          </cell>
          <cell r="I452">
            <v>2.6730328392580782E-4</v>
          </cell>
          <cell r="J452">
            <v>1.9867222017036173E-4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1.6173285894764984E-4</v>
          </cell>
          <cell r="I453">
            <v>2.4367889232644911E-4</v>
          </cell>
          <cell r="J453">
            <v>1.8632532791273696E-4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7.1069260006364631E-5</v>
          </cell>
          <cell r="I454">
            <v>1.049022635533213E-4</v>
          </cell>
          <cell r="J454">
            <v>8.8730217478655906E-5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1.2526842235549907E-4</v>
          </cell>
          <cell r="I455">
            <v>2.5011618770011195E-4</v>
          </cell>
          <cell r="J455">
            <v>1.7279854108117297E-4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7.7359759614460373E-4</v>
          </cell>
          <cell r="I456">
            <v>7.6859761062499272E-4</v>
          </cell>
          <cell r="J456">
            <v>4.6696081931967709E-4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1.1608596499286855E-3</v>
          </cell>
          <cell r="I457">
            <v>4.0371992626357912E-2</v>
          </cell>
          <cell r="J457">
            <v>3.4115188508715109E-2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0.34229538667465198</v>
          </cell>
          <cell r="I458">
            <v>1.59622485232974</v>
          </cell>
          <cell r="J458">
            <v>6.5326580147587903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0.34229538667465198</v>
          </cell>
          <cell r="I459">
            <v>3.1883254791049787</v>
          </cell>
          <cell r="J459">
            <v>8.2656523129228994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1.1839518005241125</v>
          </cell>
          <cell r="F460">
            <v>1.7563069788636922E-3</v>
          </cell>
          <cell r="G460">
            <v>1.1331690898982313E-3</v>
          </cell>
          <cell r="H460">
            <v>4.4741827672536565E-4</v>
          </cell>
          <cell r="I460">
            <v>1.6956786736658411</v>
          </cell>
          <cell r="J460">
            <v>3.9133931603505928E-4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1.1839518005241125</v>
          </cell>
          <cell r="F461">
            <v>1.7563069788636922E-3</v>
          </cell>
          <cell r="G461">
            <v>1.1331690898982313E-3</v>
          </cell>
          <cell r="H461">
            <v>4.4741827672536565E-4</v>
          </cell>
          <cell r="I461">
            <v>1.6956786736658411</v>
          </cell>
          <cell r="J461">
            <v>3.9133931603505928E-4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136.11650731774947</v>
          </cell>
          <cell r="F462">
            <v>103.9045218168128</v>
          </cell>
          <cell r="G462">
            <v>88.9061066196967</v>
          </cell>
          <cell r="H462">
            <v>136.74088353171257</v>
          </cell>
          <cell r="I462">
            <v>118.10623871581834</v>
          </cell>
          <cell r="J462">
            <v>105.37680518536447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39.565183185510847</v>
          </cell>
          <cell r="F463">
            <v>71.140665160924172</v>
          </cell>
          <cell r="G463">
            <v>80.544751605837178</v>
          </cell>
          <cell r="H463">
            <v>40.290817469334492</v>
          </cell>
          <cell r="I463">
            <v>29.276744455567894</v>
          </cell>
          <cell r="J463">
            <v>26.048766347325987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4.1600836550530565E-4</v>
          </cell>
          <cell r="F464">
            <v>2.7784817907831193E-3</v>
          </cell>
          <cell r="G464">
            <v>5.1678689852282002E-3</v>
          </cell>
          <cell r="H464">
            <v>0.26233551308673059</v>
          </cell>
          <cell r="I464">
            <v>1.768718185523408</v>
          </cell>
          <cell r="J464">
            <v>3.0438029055459523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179.36244558319788</v>
          </cell>
          <cell r="F465">
            <v>183.29746010586436</v>
          </cell>
          <cell r="G465">
            <v>176.85893641445696</v>
          </cell>
          <cell r="H465">
            <v>184.03152359379015</v>
          </cell>
          <cell r="I465">
            <v>153.15140335435183</v>
          </cell>
          <cell r="J465">
            <v>136.60334094213945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3.4236588729364602E-7</v>
          </cell>
          <cell r="F466">
            <v>3.6956282836554397E-7</v>
          </cell>
          <cell r="G466">
            <v>3.6681423027220201E-7</v>
          </cell>
          <cell r="H466">
            <v>5.7558964216181596E-7</v>
          </cell>
          <cell r="I466">
            <v>1.6534830810267699E-6</v>
          </cell>
          <cell r="J466">
            <v>3.6326430590981899E-6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13.914190506206326</v>
          </cell>
          <cell r="I467">
            <v>13.914191821573688</v>
          </cell>
          <cell r="J467">
            <v>13.914194245756207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0.90177566749128346</v>
          </cell>
          <cell r="F468">
            <v>1.337719067181019E-3</v>
          </cell>
          <cell r="G468">
            <v>8.6309621048011212E-4</v>
          </cell>
          <cell r="H468">
            <v>3.4078322695502221E-4</v>
          </cell>
          <cell r="I468">
            <v>1.2915405569034453</v>
          </cell>
          <cell r="J468">
            <v>2.9806979707862742E-4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1.1839518005241125</v>
          </cell>
          <cell r="F469">
            <v>1.7563069788636922E-3</v>
          </cell>
          <cell r="G469">
            <v>1.1331690898982313E-3</v>
          </cell>
          <cell r="H469">
            <v>4.4741827672536565E-4</v>
          </cell>
          <cell r="I469">
            <v>1.6956786736658411</v>
          </cell>
          <cell r="J469">
            <v>3.9133931603505928E-4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2.5746078083315601E-5</v>
          </cell>
          <cell r="F470">
            <v>1.5731722754535398E-5</v>
          </cell>
          <cell r="G470">
            <v>1.12032839927774E-5</v>
          </cell>
          <cell r="H470">
            <v>2.0075364973767602E-5</v>
          </cell>
          <cell r="I470">
            <v>0.16270320782304801</v>
          </cell>
          <cell r="J470">
            <v>6.4942458497106702E-6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0.11440211281933668</v>
          </cell>
          <cell r="F471">
            <v>2.6916121561208484E-3</v>
          </cell>
          <cell r="G471">
            <v>2.5604103120916294E-3</v>
          </cell>
          <cell r="H471">
            <v>1.1131266222378922E-3</v>
          </cell>
          <cell r="I471">
            <v>0.16382090577269859</v>
          </cell>
          <cell r="J471">
            <v>1.2369423795400014E-3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3.1682979327880126E-2</v>
          </cell>
          <cell r="J472">
            <v>2.7517917833131192E-4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4.0395798643047182E-2</v>
          </cell>
          <cell r="J473">
            <v>3.6461241128898811E-4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4.4673000852311002</v>
          </cell>
          <cell r="J474">
            <v>3.8800264144714901E-2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7.9207448319700294E-2</v>
          </cell>
          <cell r="J475">
            <v>6.8794794582827991E-4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1.34484858460821E-3</v>
          </cell>
          <cell r="J476">
            <v>2.60302406693386E-7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1.34484858460821E-3</v>
          </cell>
          <cell r="J477">
            <v>9.3671492560299871E-5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151.66860614926884</v>
          </cell>
          <cell r="F478">
            <v>118.60298820383969</v>
          </cell>
          <cell r="G478">
            <v>104.7878201159904</v>
          </cell>
          <cell r="H478">
            <v>131.67408298374039</v>
          </cell>
          <cell r="I478">
            <v>121.50988181606535</v>
          </cell>
          <cell r="J478">
            <v>114.80325540712315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2.4876389593753043E-4</v>
          </cell>
          <cell r="F479">
            <v>2.3791447592126569E-3</v>
          </cell>
          <cell r="G479">
            <v>5.0275177875814996E-3</v>
          </cell>
          <cell r="H479">
            <v>5.1323228557719602E-3</v>
          </cell>
          <cell r="I479">
            <v>0.64996674541392552</v>
          </cell>
          <cell r="J479">
            <v>11.146710571747736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156.45912718854248</v>
          </cell>
          <cell r="F480">
            <v>124.21458949488013</v>
          </cell>
          <cell r="G480">
            <v>109.51059288871296</v>
          </cell>
          <cell r="H480">
            <v>137.11131752375812</v>
          </cell>
          <cell r="I480">
            <v>126.28873551341094</v>
          </cell>
          <cell r="J480">
            <v>129.28153273480262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5.2059718326482099E-6</v>
          </cell>
          <cell r="F481">
            <v>1.86266523556933E-6</v>
          </cell>
          <cell r="G481">
            <v>2.18353172389977E-6</v>
          </cell>
          <cell r="H481">
            <v>2.0456436488366401</v>
          </cell>
          <cell r="I481">
            <v>1.31195917576249</v>
          </cell>
          <cell r="J481">
            <v>1.11087867719182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12.649267411718949</v>
          </cell>
          <cell r="I482">
            <v>14.69491668940643</v>
          </cell>
          <cell r="J482">
            <v>17.376880130956362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2267.78876344947</v>
          </cell>
          <cell r="F483">
            <v>2030.7446045778699</v>
          </cell>
          <cell r="G483">
            <v>1881.80141301052</v>
          </cell>
          <cell r="H483">
            <v>1137.56264183346</v>
          </cell>
          <cell r="I483">
            <v>389.99008007304099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30.256635661183736</v>
          </cell>
          <cell r="F484">
            <v>27.09401361005397</v>
          </cell>
          <cell r="G484">
            <v>25.107050513679713</v>
          </cell>
          <cell r="H484">
            <v>15.177759207098662</v>
          </cell>
          <cell r="I484">
            <v>5.20368454053476</v>
          </cell>
          <cell r="J484">
            <v>0.23451223253958195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30.770539531200342</v>
          </cell>
          <cell r="F485">
            <v>27.554200876226215</v>
          </cell>
          <cell r="G485">
            <v>25.53326204898935</v>
          </cell>
          <cell r="H485">
            <v>15.435042630033356</v>
          </cell>
          <cell r="I485">
            <v>5.2915886034333948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2.2910565991251641E-4</v>
          </cell>
          <cell r="H486">
            <v>5.1173692631173667E-4</v>
          </cell>
          <cell r="I486">
            <v>4.8362481732432133E-4</v>
          </cell>
          <cell r="J486">
            <v>0.23849634143436102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9.2700566823638209</v>
          </cell>
          <cell r="F487">
            <v>9.2699744280713894</v>
          </cell>
          <cell r="G487">
            <v>2.4637410685892398</v>
          </cell>
          <cell r="H487">
            <v>2.0839161823898101E-2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0.1000006114602353</v>
          </cell>
          <cell r="F488">
            <v>9.9999724143164895E-2</v>
          </cell>
          <cell r="G488">
            <v>2.6577573555439486E-2</v>
          </cell>
          <cell r="H488">
            <v>2.2480217717257934E-4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0.1000006114602353</v>
          </cell>
          <cell r="F489">
            <v>9.9999724143164895E-2</v>
          </cell>
          <cell r="G489">
            <v>2.6577573555439486E-2</v>
          </cell>
          <cell r="H489">
            <v>2.2480217717257934E-4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54.392401584390356</v>
          </cell>
          <cell r="F490">
            <v>43.516686865224713</v>
          </cell>
          <cell r="G490">
            <v>53.269315216565197</v>
          </cell>
          <cell r="H490">
            <v>52.174540728370943</v>
          </cell>
          <cell r="I490">
            <v>49.985140378780088</v>
          </cell>
          <cell r="J490">
            <v>47.801483091914221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54.392401584390356</v>
          </cell>
          <cell r="F491">
            <v>43.516686865224713</v>
          </cell>
          <cell r="G491">
            <v>53.269315216565197</v>
          </cell>
          <cell r="H491">
            <v>52.174540728370943</v>
          </cell>
          <cell r="I491">
            <v>49.985140378780088</v>
          </cell>
          <cell r="J491">
            <v>47.801483091914221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3.6831122852303744</v>
          </cell>
          <cell r="G493">
            <v>3.7947206422870976</v>
          </cell>
          <cell r="H493">
            <v>11.054509479965255</v>
          </cell>
          <cell r="I493">
            <v>17.904552862591316</v>
          </cell>
          <cell r="J493">
            <v>19.777788108780161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1.227704095076791</v>
          </cell>
          <cell r="G494">
            <v>1.2649068807623638</v>
          </cell>
          <cell r="H494">
            <v>3.6848364933217566</v>
          </cell>
          <cell r="I494">
            <v>5.9681842875304394</v>
          </cell>
          <cell r="J494">
            <v>6.5925960362600522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0.226856569490228</v>
          </cell>
          <cell r="G495">
            <v>6.8779518357961903E-3</v>
          </cell>
          <cell r="H495">
            <v>0.44698138438747298</v>
          </cell>
          <cell r="I495">
            <v>0.23547270764422601</v>
          </cell>
          <cell r="J495">
            <v>0.638341357688328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0.226856569490228</v>
          </cell>
          <cell r="G496">
            <v>0.2337341852776732</v>
          </cell>
          <cell r="H496">
            <v>0.68071492916920373</v>
          </cell>
          <cell r="I496">
            <v>1.1109439582434686</v>
          </cell>
          <cell r="J496">
            <v>1.23228028873656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7.1200083028758767</v>
          </cell>
          <cell r="F497">
            <v>7.6289071432017055</v>
          </cell>
          <cell r="G497">
            <v>7.3297952615242101</v>
          </cell>
          <cell r="H497">
            <v>7.1839619334299112</v>
          </cell>
          <cell r="I497">
            <v>10.175344346126227</v>
          </cell>
          <cell r="J497">
            <v>12.715265344493016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7.7403447168133264</v>
          </cell>
          <cell r="F498">
            <v>8.2914021217769491</v>
          </cell>
          <cell r="G498">
            <v>7.9631761091180193</v>
          </cell>
          <cell r="H498">
            <v>7.7996184940663227</v>
          </cell>
          <cell r="I498">
            <v>11.032876000394026</v>
          </cell>
          <cell r="J498">
            <v>13.76879962617817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0.79547238608659998</v>
          </cell>
          <cell r="F499">
            <v>9.8751042225247503E-8</v>
          </cell>
          <cell r="G499">
            <v>1.1964342755926901E-7</v>
          </cell>
          <cell r="H499">
            <v>1.4878972363996701E-7</v>
          </cell>
          <cell r="I499">
            <v>4.9741458299658705E-7</v>
          </cell>
          <cell r="J499">
            <v>1.3946724305692501E-6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0.79547238608659998</v>
          </cell>
          <cell r="F500">
            <v>0.79547248483764199</v>
          </cell>
          <cell r="G500">
            <v>0.79547260448106905</v>
          </cell>
          <cell r="H500">
            <v>0.79547275327079303</v>
          </cell>
          <cell r="I500">
            <v>0.79547354406544801</v>
          </cell>
          <cell r="J500">
            <v>0.795474938737878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6.3733148310008794</v>
          </cell>
          <cell r="I501">
            <v>5.636769897024668</v>
          </cell>
          <cell r="J501">
            <v>12.470543479052074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6.4218692163465736</v>
          </cell>
          <cell r="I502">
            <v>5.6797129972703786</v>
          </cell>
          <cell r="J502">
            <v>12.565548918075255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0.42691296249156302</v>
          </cell>
          <cell r="I503">
            <v>0.19445986715803201</v>
          </cell>
          <cell r="J503">
            <v>0.41919482237594902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0.42691296249156302</v>
          </cell>
          <cell r="I504">
            <v>0.62138695021486001</v>
          </cell>
          <cell r="J504">
            <v>1.04058177259081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1.2875826965630355</v>
          </cell>
          <cell r="G505">
            <v>2.1019510072440122</v>
          </cell>
          <cell r="H505">
            <v>4.5746753370255782</v>
          </cell>
          <cell r="I505">
            <v>7.9347554155236271</v>
          </cell>
          <cell r="J505">
            <v>13.937400644837869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1.2875826965630355</v>
          </cell>
          <cell r="G506">
            <v>2.1019510072440122</v>
          </cell>
          <cell r="H506">
            <v>4.5746753370255782</v>
          </cell>
          <cell r="I506">
            <v>7.9347554155236271</v>
          </cell>
          <cell r="J506">
            <v>13.937400644837869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1.2875826965630399</v>
          </cell>
          <cell r="G507">
            <v>2.10195100724401</v>
          </cell>
          <cell r="H507">
            <v>4.5746753370255799</v>
          </cell>
          <cell r="I507">
            <v>7.9347554155236297</v>
          </cell>
          <cell r="J507">
            <v>13.937400644837901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4.2021330112253103E-8</v>
          </cell>
          <cell r="G508">
            <v>0.187500438080305</v>
          </cell>
          <cell r="H508">
            <v>0.65982194974506003</v>
          </cell>
          <cell r="I508">
            <v>0.70072799663265595</v>
          </cell>
          <cell r="J508">
            <v>2.6822092697081401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0.43894535949774316</v>
          </cell>
          <cell r="G509">
            <v>0.67064848010163503</v>
          </cell>
          <cell r="H509">
            <v>1.318745642106177</v>
          </cell>
          <cell r="I509">
            <v>2.2873587150349222</v>
          </cell>
          <cell r="J509">
            <v>4.0177461712065003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1.4500041383323992</v>
          </cell>
          <cell r="F510">
            <v>3.8015264806984503</v>
          </cell>
          <cell r="G510">
            <v>2.4077456509327058</v>
          </cell>
          <cell r="H510">
            <v>0.97504687346032592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1.4500041383323992</v>
          </cell>
          <cell r="F511">
            <v>3.8015264806984503</v>
          </cell>
          <cell r="G511">
            <v>2.4077456509327058</v>
          </cell>
          <cell r="H511">
            <v>0.97504687346032592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297.19594109590548</v>
          </cell>
          <cell r="J513">
            <v>1430.4749118719421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-297.19594109590503</v>
          </cell>
          <cell r="J514">
            <v>-1430.4749118719401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2.1156996678374815</v>
          </cell>
          <cell r="J515">
            <v>10.604167137916699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1.0001489338868073</v>
          </cell>
          <cell r="J516">
            <v>5.0128790106515124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2.9824444249426403</v>
          </cell>
          <cell r="J517">
            <v>14.376580126560324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4.1252932910809899E-2</v>
          </cell>
          <cell r="J518">
            <v>0.18750120937758899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4.1252932910809899E-2</v>
          </cell>
          <cell r="J519">
            <v>0.21743984574916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1.066555806628149E-5</v>
          </cell>
          <cell r="G520">
            <v>7.6441885255360789E-6</v>
          </cell>
          <cell r="H520">
            <v>2.3598797979516832E-5</v>
          </cell>
          <cell r="I520">
            <v>1.8679032112176103E-5</v>
          </cell>
          <cell r="J520">
            <v>4.0468356554594848E-4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2.6663895165703684E-4</v>
          </cell>
          <cell r="G521">
            <v>1.9110471313840173E-4</v>
          </cell>
          <cell r="H521">
            <v>5.8996994948791947E-4</v>
          </cell>
          <cell r="I521">
            <v>4.6697580280440185E-4</v>
          </cell>
          <cell r="J521">
            <v>1.0117270039549053E-2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3.1996674198844427E-5</v>
          </cell>
          <cell r="G522">
            <v>2.2932565576608225E-5</v>
          </cell>
          <cell r="H522">
            <v>7.0796393938550418E-5</v>
          </cell>
          <cell r="I522">
            <v>5.6037096336528346E-5</v>
          </cell>
          <cell r="J522">
            <v>1.2140724047458877E-3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3.5996258473700005E-4</v>
          </cell>
          <cell r="G523">
            <v>2.5799136273684247E-4</v>
          </cell>
          <cell r="H523">
            <v>7.9645943180869157E-4</v>
          </cell>
          <cell r="I523">
            <v>6.3041733378594298E-4</v>
          </cell>
          <cell r="J523">
            <v>1.3658314553391235E-2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1.1394321850577501E-6</v>
          </cell>
          <cell r="F524">
            <v>3.8498995186955999E-5</v>
          </cell>
          <cell r="G524">
            <v>1.86474823173159E-6</v>
          </cell>
          <cell r="H524">
            <v>1.7689493620817099E-6</v>
          </cell>
          <cell r="I524">
            <v>3.0084715022411302E-6</v>
          </cell>
          <cell r="J524">
            <v>3.8905252519474102E-4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1.1394321850577501E-6</v>
          </cell>
          <cell r="F525">
            <v>3.9561045134490495E-5</v>
          </cell>
          <cell r="G525">
            <v>4.1253038640448405E-5</v>
          </cell>
          <cell r="H525">
            <v>4.2728967967106407E-5</v>
          </cell>
          <cell r="I525">
            <v>4.5475978313210269E-5</v>
          </cell>
          <cell r="J525">
            <v>4.0803320416919796E-4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4514.48294827055</v>
          </cell>
          <cell r="F526">
            <v>3846.5261661988202</v>
          </cell>
          <cell r="G526">
            <v>3572.1612315819002</v>
          </cell>
          <cell r="H526">
            <v>1766.7426916162999</v>
          </cell>
          <cell r="I526">
            <v>423.03759514880397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60.231829333469712</v>
          </cell>
          <cell r="F527">
            <v>51.320009450466152</v>
          </cell>
          <cell r="G527">
            <v>47.659685719748715</v>
          </cell>
          <cell r="H527">
            <v>23.572233306948519</v>
          </cell>
          <cell r="I527">
            <v>5.6446080628064275</v>
          </cell>
          <cell r="J527">
            <v>0.3646580856757563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61.254856828637017</v>
          </cell>
          <cell r="F528">
            <v>52.191671183159045</v>
          </cell>
          <cell r="G528">
            <v>48.468944797583319</v>
          </cell>
          <cell r="H528">
            <v>23.972085367928052</v>
          </cell>
          <cell r="I528">
            <v>5.7399945067680296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2.3289658056168246E-4</v>
          </cell>
          <cell r="H529">
            <v>5.1864490789575691E-4</v>
          </cell>
          <cell r="I529">
            <v>4.8666206588313712E-4</v>
          </cell>
          <cell r="J529">
            <v>0.37085019646725104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71.694107838254823</v>
          </cell>
          <cell r="F530">
            <v>35.425142716258328</v>
          </cell>
          <cell r="G530">
            <v>53.578238188315062</v>
          </cell>
          <cell r="H530">
            <v>25.782750633142189</v>
          </cell>
          <cell r="I530">
            <v>16.794452887340437</v>
          </cell>
          <cell r="J530">
            <v>19.537649731217122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71.694107838254823</v>
          </cell>
          <cell r="F531">
            <v>35.425142716258328</v>
          </cell>
          <cell r="G531">
            <v>53.578238188315062</v>
          </cell>
          <cell r="H531">
            <v>25.782750633142189</v>
          </cell>
          <cell r="I531">
            <v>16.794452887340437</v>
          </cell>
          <cell r="J531">
            <v>19.537649731217122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2.8309978610886698E-6</v>
          </cell>
          <cell r="F532">
            <v>3.0719144338543902E-6</v>
          </cell>
          <cell r="G532">
            <v>6.5976332878323499E-6</v>
          </cell>
          <cell r="H532">
            <v>3.00719953640404E-6</v>
          </cell>
          <cell r="I532">
            <v>3.7866166641138901E-6</v>
          </cell>
          <cell r="J532">
            <v>5.8918022464495898E-6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3.7499971948833051</v>
          </cell>
          <cell r="F533">
            <v>3.7499932094351287</v>
          </cell>
          <cell r="G533">
            <v>3.7499924335350858</v>
          </cell>
          <cell r="H533">
            <v>3.749994348424937</v>
          </cell>
          <cell r="I533">
            <v>2.3999999146261191</v>
          </cell>
          <cell r="J533">
            <v>2.3999999830757268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0.21431265707685224</v>
          </cell>
          <cell r="J534">
            <v>176.92243215478501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-0.21431265707685199</v>
          </cell>
          <cell r="J535">
            <v>-176.92243215478501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4.7499042750131284E-4</v>
          </cell>
          <cell r="J536">
            <v>0.39212085198326763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2.672999547203491E-3</v>
          </cell>
          <cell r="J537">
            <v>1.4831698550577532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9.2204084532688101E-5</v>
          </cell>
          <cell r="J538">
            <v>1.7297769305134499E-2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9.2204084532688101E-5</v>
          </cell>
          <cell r="J539">
            <v>1.7389933895091834E-2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3.9601037501547177E-2</v>
          </cell>
          <cell r="F540">
            <v>1.4092354532420755E-4</v>
          </cell>
          <cell r="G540">
            <v>7.1723371228720008E-3</v>
          </cell>
          <cell r="H540">
            <v>1.2665510225199257E-3</v>
          </cell>
          <cell r="I540">
            <v>3.325441061339E-3</v>
          </cell>
          <cell r="J540">
            <v>9.4816068635571359E-6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8.8820465595752793</v>
          </cell>
          <cell r="F541">
            <v>0.10758035788534499</v>
          </cell>
          <cell r="G541">
            <v>1.8082618496359599</v>
          </cell>
          <cell r="H541">
            <v>0.33889689526045103</v>
          </cell>
          <cell r="I541">
            <v>0.75389976962003802</v>
          </cell>
          <cell r="J541">
            <v>2.4292410280251E-3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0.12051623554376224</v>
          </cell>
          <cell r="F542">
            <v>1.4597063485121456E-3</v>
          </cell>
          <cell r="G542">
            <v>2.4535438936715923E-2</v>
          </cell>
          <cell r="H542">
            <v>4.5983296507523964E-3</v>
          </cell>
          <cell r="I542">
            <v>1.0229304879512053E-2</v>
          </cell>
          <cell r="J542">
            <v>3.2961207978630965E-5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4.8645491693747296E-6</v>
          </cell>
          <cell r="G543">
            <v>1.09055665497881E-5</v>
          </cell>
          <cell r="H543">
            <v>1.10744352157687E-5</v>
          </cell>
          <cell r="I543">
            <v>6.0295227821955404E-6</v>
          </cell>
          <cell r="J543">
            <v>6.44348962558587E-5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1.2047873561833802E-2</v>
          </cell>
          <cell r="F544">
            <v>2.5746644488540693E-3</v>
          </cell>
          <cell r="G544">
            <v>2.4962895515012601E-3</v>
          </cell>
          <cell r="H544">
            <v>2.4621321449781412E-3</v>
          </cell>
          <cell r="I544">
            <v>2.6805494280490068E-3</v>
          </cell>
          <cell r="J544">
            <v>2.9435343377879751E-4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8.5743691264718152</v>
          </cell>
          <cell r="F545">
            <v>6.5909371527800351</v>
          </cell>
          <cell r="G545">
            <v>10.798952770920419</v>
          </cell>
          <cell r="H545">
            <v>11.328643351856952</v>
          </cell>
          <cell r="I545">
            <v>9.4780832928477672</v>
          </cell>
          <cell r="J545">
            <v>7.0155122804319845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8.5743691264718152</v>
          </cell>
          <cell r="F546">
            <v>6.5909371527800351</v>
          </cell>
          <cell r="G546">
            <v>10.798952770920419</v>
          </cell>
          <cell r="H546">
            <v>11.328643351856952</v>
          </cell>
          <cell r="I546">
            <v>9.4780832928477672</v>
          </cell>
          <cell r="J546">
            <v>7.0155122804319845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8.1082663755837529E-4</v>
          </cell>
          <cell r="I547">
            <v>1.1396390971490126E-3</v>
          </cell>
          <cell r="J547">
            <v>2.9076186674575525E-4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1.2958375232812503E-3</v>
          </cell>
          <cell r="I548">
            <v>1.7428293830367364E-3</v>
          </cell>
          <cell r="J548">
            <v>4.2701173164324288E-4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2.998512394575614E-3</v>
          </cell>
          <cell r="I549">
            <v>4.0221119258058956E-3</v>
          </cell>
          <cell r="J549">
            <v>1.0393988232175462E-3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8.5921460296682503E-5</v>
          </cell>
          <cell r="I550">
            <v>5.3362912458157502E-5</v>
          </cell>
          <cell r="J550">
            <v>5.1151103039676904E-6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8.5921460296682503E-5</v>
          </cell>
          <cell r="I551">
            <v>1.1387645089829576E-4</v>
          </cell>
          <cell r="J551">
            <v>4.4580944807765427E-5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32.820800223034048</v>
          </cell>
          <cell r="F552">
            <v>32.82078564407793</v>
          </cell>
          <cell r="G552">
            <v>31.381300590699233</v>
          </cell>
          <cell r="H552">
            <v>32.820795269702174</v>
          </cell>
          <cell r="I552">
            <v>32.420318858540952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98.945500079048173</v>
          </cell>
          <cell r="F553">
            <v>98.945456127587761</v>
          </cell>
          <cell r="G553">
            <v>94.605812746104561</v>
          </cell>
          <cell r="H553">
            <v>98.945485146142929</v>
          </cell>
          <cell r="I553">
            <v>97.738161177716407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1.22</v>
          </cell>
          <cell r="F554">
            <v>1.22</v>
          </cell>
          <cell r="G554">
            <v>1.22</v>
          </cell>
          <cell r="H554">
            <v>1.22</v>
          </cell>
          <cell r="I554">
            <v>1.22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1.3984117468801478E-3</v>
          </cell>
          <cell r="I555">
            <v>1.3995523869855858E-3</v>
          </cell>
          <cell r="J555">
            <v>6.7089418570623848E-4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1.3984117468801478E-3</v>
          </cell>
          <cell r="I556">
            <v>1.3995523869855858E-3</v>
          </cell>
          <cell r="J556">
            <v>6.7089418570623848E-4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9.4100613151946896E-5</v>
          </cell>
          <cell r="I557">
            <v>1.19249080154354E-4</v>
          </cell>
          <cell r="J557">
            <v>3.0958883502237499E-5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9.4100613151946896E-5</v>
          </cell>
          <cell r="I558">
            <v>1.28019370153324E-4</v>
          </cell>
          <cell r="J558">
            <v>7.1804227109823005E-5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6.3644600498899428E-4</v>
          </cell>
          <cell r="G559">
            <v>1.5288145220587558E-2</v>
          </cell>
          <cell r="H559">
            <v>1.9338420630822899E-2</v>
          </cell>
          <cell r="I559">
            <v>0.38837899167573153</v>
          </cell>
          <cell r="J559">
            <v>5.6862485026234191E-3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0.13843211740445899</v>
          </cell>
          <cell r="G560">
            <v>2.5560920728502898</v>
          </cell>
          <cell r="H560">
            <v>8.1192414551210899</v>
          </cell>
          <cell r="I560">
            <v>53.53510227236</v>
          </cell>
          <cell r="J560">
            <v>0.79061517279769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2.454470166745723E-3</v>
          </cell>
          <cell r="G561">
            <v>4.5320781433515735E-2</v>
          </cell>
          <cell r="H561">
            <v>0.14395818182838802</v>
          </cell>
          <cell r="I561">
            <v>0.94920394099929128</v>
          </cell>
          <cell r="J561">
            <v>1.4017999517689544E-2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0.25000028799066798</v>
          </cell>
          <cell r="G562">
            <v>0.14245590136653316</v>
          </cell>
          <cell r="H562">
            <v>0.1424510610600927</v>
          </cell>
          <cell r="I562">
            <v>0.1424533585011363</v>
          </cell>
          <cell r="J562">
            <v>2.5011368111254567E-2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0.25000028799066798</v>
          </cell>
          <cell r="G563">
            <v>1.72063316418415E-6</v>
          </cell>
          <cell r="H563">
            <v>4.8474929587702103E-6</v>
          </cell>
          <cell r="I563">
            <v>3.9987899884998496E-6</v>
          </cell>
          <cell r="J563">
            <v>5.3210861505604399E-6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0.25000028799066798</v>
          </cell>
          <cell r="G564">
            <v>0.14245590136653297</v>
          </cell>
          <cell r="H564">
            <v>0.14245106106009203</v>
          </cell>
          <cell r="I564">
            <v>0.142453358501136</v>
          </cell>
          <cell r="J564">
            <v>2.5011368111254501E-2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1.2122522240278269E-3</v>
          </cell>
          <cell r="I565">
            <v>1.0429354775299403E-3</v>
          </cell>
          <cell r="J565">
            <v>7.9691806065680605E-4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1.2214876318465827E-3</v>
          </cell>
          <cell r="I566">
            <v>1.0508809646758699E-3</v>
          </cell>
          <cell r="J566">
            <v>8.0298929166172314E-4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1.10568136493103E-4</v>
          </cell>
          <cell r="I567">
            <v>1.9930415452551501E-6</v>
          </cell>
          <cell r="J567">
            <v>8.0980563376342705E-7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1.10568136493103E-4</v>
          </cell>
          <cell r="I568">
            <v>1.34227069183681E-4</v>
          </cell>
          <cell r="J568">
            <v>1.3503687481744499E-4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13.722991611913137</v>
          </cell>
          <cell r="F569">
            <v>15.721946317597789</v>
          </cell>
          <cell r="G569">
            <v>17.76060367147608</v>
          </cell>
          <cell r="H569">
            <v>16.505434739165409</v>
          </cell>
          <cell r="I569">
            <v>12.458548925031302</v>
          </cell>
          <cell r="J569">
            <v>8.1968505715576132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13.722991611913137</v>
          </cell>
          <cell r="F570">
            <v>15.721946317597789</v>
          </cell>
          <cell r="G570">
            <v>17.76060367147608</v>
          </cell>
          <cell r="H570">
            <v>16.505434739165409</v>
          </cell>
          <cell r="I570">
            <v>12.458548925031302</v>
          </cell>
          <cell r="J570">
            <v>8.1968505715576132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2.2951030910480199E-2</v>
          </cell>
          <cell r="I571">
            <v>0.18766349406945601</v>
          </cell>
          <cell r="J571">
            <v>3.3635602738511898E-2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2.4415990330298024E-4</v>
          </cell>
          <cell r="I572">
            <v>2.029693818836316E-3</v>
          </cell>
          <cell r="J572">
            <v>3.6975307974959859E-4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7.2923429936237443E-5</v>
          </cell>
          <cell r="I573">
            <v>5.986541650504E-4</v>
          </cell>
          <cell r="J573">
            <v>1.0698596698952694E-4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4.0693317217163378E-4</v>
          </cell>
          <cell r="I574">
            <v>3.3273669161251081E-3</v>
          </cell>
          <cell r="J574">
            <v>5.9637593507999792E-4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3.4140933593956302E-5</v>
          </cell>
          <cell r="I575">
            <v>6.2336750047500394E-5</v>
          </cell>
          <cell r="J575">
            <v>4.09038965461321E-7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3.4140933593956302E-5</v>
          </cell>
          <cell r="I576">
            <v>1.1972977504291162E-4</v>
          </cell>
          <cell r="J576">
            <v>5.9985083227983014E-5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1.8010378432154785E-3</v>
          </cell>
          <cell r="F577">
            <v>9.1985421407529634E-5</v>
          </cell>
          <cell r="G577">
            <v>1.891399596519497E-3</v>
          </cell>
          <cell r="H577">
            <v>9.078416347137779E-4</v>
          </cell>
          <cell r="I577">
            <v>1.0742101832848542E-3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9.2624803365367412E-3</v>
          </cell>
          <cell r="F578">
            <v>4.7306788152443784E-4</v>
          </cell>
          <cell r="G578">
            <v>9.727197924957404E-3</v>
          </cell>
          <cell r="H578">
            <v>4.6688998356708561E-3</v>
          </cell>
          <cell r="I578">
            <v>5.5245095140363954E-3</v>
          </cell>
          <cell r="J578">
            <v>7.9899575922259825E-6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1.6921277006875799</v>
          </cell>
          <cell r="F579">
            <v>0.13908130535058999</v>
          </cell>
          <cell r="G579">
            <v>1.48651031307961</v>
          </cell>
          <cell r="H579">
            <v>0.67168054723051596</v>
          </cell>
          <cell r="I579">
            <v>0.72112298188067303</v>
          </cell>
          <cell r="J579">
            <v>1.3627600188616401E-3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2.2959670294268358E-2</v>
          </cell>
          <cell r="F580">
            <v>1.8871276166972895E-3</v>
          </cell>
          <cell r="G580">
            <v>2.0169746446127665E-2</v>
          </cell>
          <cell r="H580">
            <v>9.1137116313502811E-3</v>
          </cell>
          <cell r="I580">
            <v>9.7845723457350379E-3</v>
          </cell>
          <cell r="J580">
            <v>1.8490637976412958E-5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3.3497476404229599E-6</v>
          </cell>
          <cell r="G581">
            <v>3.2255717698080602E-6</v>
          </cell>
          <cell r="H581">
            <v>7.2958970682704202E-6</v>
          </cell>
          <cell r="I581">
            <v>5.2302542367854297E-5</v>
          </cell>
          <cell r="J581">
            <v>4.05779343645162E-5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2.1272803974900605E-3</v>
          </cell>
          <cell r="F582">
            <v>9.5382930700791367E-4</v>
          </cell>
          <cell r="G582">
            <v>8.9427452496815968E-4</v>
          </cell>
          <cell r="H582">
            <v>6.7045166427288135E-4</v>
          </cell>
          <cell r="I582">
            <v>2.4893953472060503E-4</v>
          </cell>
          <cell r="J582">
            <v>1.0185066388425444E-4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5.0849829086456961E-3</v>
          </cell>
          <cell r="J583">
            <v>3.3600047671565208E-3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6.1746221033554625E-3</v>
          </cell>
          <cell r="J584">
            <v>4.2400060156975042E-3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1.2107102163442124E-2</v>
          </cell>
          <cell r="J585">
            <v>8.0000113503726714E-3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5.0381185530433198E-4</v>
          </cell>
          <cell r="J586">
            <v>1.7008740362347001E-6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5.0381185530433198E-4</v>
          </cell>
          <cell r="J587">
            <v>5.0539014722747379E-4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4.8498358563541837</v>
          </cell>
          <cell r="G588">
            <v>9.5944993976618136</v>
          </cell>
          <cell r="H588">
            <v>17.736887493723508</v>
          </cell>
          <cell r="I588">
            <v>39.100465857077438</v>
          </cell>
          <cell r="J588">
            <v>62.60025769442899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4.8498358563541837</v>
          </cell>
          <cell r="G589">
            <v>9.5944993976618136</v>
          </cell>
          <cell r="H589">
            <v>17.736887493723508</v>
          </cell>
          <cell r="I589">
            <v>39.100465857077438</v>
          </cell>
          <cell r="J589">
            <v>62.60025769442899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4.8498358563541801</v>
          </cell>
          <cell r="G590">
            <v>9.5944993976618207</v>
          </cell>
          <cell r="H590">
            <v>17.736887493723501</v>
          </cell>
          <cell r="I590">
            <v>39.100465857077403</v>
          </cell>
          <cell r="J590">
            <v>62.600257694428997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4.4517210683869303E-8</v>
          </cell>
          <cell r="G591">
            <v>1.2679634377090301</v>
          </cell>
          <cell r="H591">
            <v>2.12241712576001</v>
          </cell>
          <cell r="I591">
            <v>3.7926745569725102</v>
          </cell>
          <cell r="J591">
            <v>10.844275167646201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1.6529270591042606</v>
          </cell>
          <cell r="G592">
            <v>3.0611844822262402</v>
          </cell>
          <cell r="H592">
            <v>5.1146857111821502</v>
          </cell>
          <cell r="I592">
            <v>11.275179516674337</v>
          </cell>
          <cell r="J592">
            <v>18.051680957067099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1.769042200759594E-5</v>
          </cell>
          <cell r="J593">
            <v>4.369819973031918E-2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2.7294503645321627E-2</v>
          </cell>
          <cell r="J594">
            <v>69.614864104172241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-2.7294503645321599E-2</v>
          </cell>
          <cell r="J595">
            <v>-69.614864104172398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4.2703861107103316E-4</v>
          </cell>
          <cell r="J596">
            <v>1.0924437479783786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5.2127102185396074E-5</v>
          </cell>
          <cell r="J597">
            <v>0.13109385863497053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6.3683967256540619E-4</v>
          </cell>
          <cell r="J598">
            <v>1.6356854688540667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2.91995617227041E-5</v>
          </cell>
          <cell r="J599">
            <v>4.39721917861009E-2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2.91995617227041E-5</v>
          </cell>
          <cell r="J600">
            <v>4.4001391347823597E-2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0.103320526174542</v>
          </cell>
          <cell r="G601">
            <v>0.349734360318396</v>
          </cell>
          <cell r="H601">
            <v>4.5085697741763999</v>
          </cell>
          <cell r="I601">
            <v>0.28487810221999399</v>
          </cell>
          <cell r="J601">
            <v>4.4636135320917897E-2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1.0812984969904434E-3</v>
          </cell>
          <cell r="G602">
            <v>2.2856008253592359E-3</v>
          </cell>
          <cell r="H602">
            <v>9.7846596616108102E-4</v>
          </cell>
          <cell r="I602">
            <v>2.9086727141101037E-3</v>
          </cell>
          <cell r="J602">
            <v>4.2415948166002763E-4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4.5374204247600701E-4</v>
          </cell>
          <cell r="G603">
            <v>9.7402154677090117E-4</v>
          </cell>
          <cell r="H603">
            <v>4.2807886019547228E-4</v>
          </cell>
          <cell r="I603">
            <v>1.2952683180021537E-3</v>
          </cell>
          <cell r="J603">
            <v>1.9524801536731403E-4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1.8319242229528794E-3</v>
          </cell>
          <cell r="G604">
            <v>6.200963835432562E-3</v>
          </cell>
          <cell r="H604">
            <v>7.9939180393198458E-2</v>
          </cell>
          <cell r="I604">
            <v>5.0510301812055633E-3</v>
          </cell>
          <cell r="J604">
            <v>7.9142083902336775E-4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5.0003707767107003E-5</v>
          </cell>
          <cell r="G605">
            <v>3.6596853046892503E-5</v>
          </cell>
          <cell r="H605">
            <v>3.4542409106473401E-7</v>
          </cell>
          <cell r="I605">
            <v>4.7988680522142797E-5</v>
          </cell>
          <cell r="J605">
            <v>1.6965100279077299E-7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5.0003707767107003E-5</v>
          </cell>
          <cell r="G606">
            <v>8.6589542011597965E-5</v>
          </cell>
          <cell r="H606">
            <v>8.6905938466750934E-5</v>
          </cell>
          <cell r="I606">
            <v>1.1519106688104355E-4</v>
          </cell>
          <cell r="J606">
            <v>5.1692070575842207E-5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20.224800336068629</v>
          </cell>
          <cell r="F607">
            <v>20.224782113925219</v>
          </cell>
          <cell r="G607">
            <v>12.800432109056423</v>
          </cell>
          <cell r="H607">
            <v>7.399197022764846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60.972096038254925</v>
          </cell>
          <cell r="F608">
            <v>60.97204110360741</v>
          </cell>
          <cell r="G608">
            <v>38.589709807551095</v>
          </cell>
          <cell r="H608">
            <v>22.306502115297704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0.73</v>
          </cell>
          <cell r="F609">
            <v>0.73</v>
          </cell>
          <cell r="G609">
            <v>0.48968299166234502</v>
          </cell>
          <cell r="H609">
            <v>0.26706931591377198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3.0011633324227654E-3</v>
          </cell>
          <cell r="I610">
            <v>6.2272425905575864E-3</v>
          </cell>
          <cell r="J610">
            <v>1.4968560315058146E-3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1.1282151045959637E-3</v>
          </cell>
          <cell r="I611">
            <v>2.3409819368207219E-3</v>
          </cell>
          <cell r="J611">
            <v>5.6270698962162938E-4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4.7819889092466502E-3</v>
          </cell>
          <cell r="I612">
            <v>9.2078123449071316E-3</v>
          </cell>
          <cell r="J612">
            <v>2.1864099023227285E-3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8.4257242321883496E-5</v>
          </cell>
          <cell r="I613">
            <v>8.1470226968783006E-5</v>
          </cell>
          <cell r="J613">
            <v>2.6300492956340502E-7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8.4257242321883496E-5</v>
          </cell>
          <cell r="I614">
            <v>1.7393755620313765E-4</v>
          </cell>
          <cell r="J614">
            <v>6.603763285630888E-5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7.0901333564686036E-5</v>
          </cell>
          <cell r="F615">
            <v>3.1797605221295697E-4</v>
          </cell>
          <cell r="G615">
            <v>4.3609077797474669E-3</v>
          </cell>
          <cell r="H615">
            <v>1.2802472954989749E-3</v>
          </cell>
          <cell r="I615">
            <v>1.2005783008463992E-2</v>
          </cell>
          <cell r="J615">
            <v>1.3875193274907071E-3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7.0901333564685833E-5</v>
          </cell>
          <cell r="F616">
            <v>3.1818803624776505E-4</v>
          </cell>
          <cell r="G616">
            <v>4.3654503920180351E-3</v>
          </cell>
          <cell r="H616">
            <v>1.2802472954989749E-3</v>
          </cell>
          <cell r="I616">
            <v>1.2005783008463944E-2</v>
          </cell>
          <cell r="J616">
            <v>1.3875193274907067E-3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5.5788357296482414E-5</v>
          </cell>
          <cell r="F617">
            <v>4.1986489007513614E-4</v>
          </cell>
          <cell r="G617">
            <v>5.6338770749922744E-3</v>
          </cell>
          <cell r="H617">
            <v>1.601350648446127E-3</v>
          </cell>
          <cell r="I617">
            <v>1.4125506590044697E-2</v>
          </cell>
          <cell r="J617">
            <v>1.5427260011415219E-3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5.5788357296482414E-5</v>
          </cell>
          <cell r="F618">
            <v>4.1986489007513614E-4</v>
          </cell>
          <cell r="G618">
            <v>5.6338770749922744E-3</v>
          </cell>
          <cell r="H618">
            <v>1.601350648446127E-3</v>
          </cell>
          <cell r="I618">
            <v>1.4125506590044697E-2</v>
          </cell>
          <cell r="J618">
            <v>1.5427260011415219E-3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3.7053167212045602E-3</v>
          </cell>
          <cell r="F619">
            <v>1.15725856385055E-4</v>
          </cell>
          <cell r="G619">
            <v>8.4640852415770595E-5</v>
          </cell>
          <cell r="H619">
            <v>4.3758882283616198E-5</v>
          </cell>
          <cell r="I619">
            <v>4.4704311329329203E-3</v>
          </cell>
          <cell r="J619">
            <v>6.7506710467835198E-5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3.7053167212045602E-3</v>
          </cell>
          <cell r="F620">
            <v>3.8146549043692104E-3</v>
          </cell>
          <cell r="G620">
            <v>3.8780017922691624E-3</v>
          </cell>
          <cell r="H620">
            <v>3.8531813224222502E-3</v>
          </cell>
          <cell r="I620">
            <v>8.8837197804185163E-3</v>
          </cell>
          <cell r="J620">
            <v>3.0113823942843603E-3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1.3938279642449927E-5</v>
          </cell>
          <cell r="F621">
            <v>0.36346552815459621</v>
          </cell>
          <cell r="G621">
            <v>5.6407234230080206E-4</v>
          </cell>
          <cell r="H621">
            <v>4.2926835224446847E-2</v>
          </cell>
          <cell r="I621">
            <v>2.5465074677857601E-2</v>
          </cell>
          <cell r="J621">
            <v>2.1436076499364399E-2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5.4359290605554697E-6</v>
          </cell>
          <cell r="F622">
            <v>0.14175155598029235</v>
          </cell>
          <cell r="G622">
            <v>2.1998821349731256E-4</v>
          </cell>
          <cell r="H622">
            <v>1.6741465737534243E-2</v>
          </cell>
          <cell r="I622">
            <v>9.9313791243644534E-3</v>
          </cell>
          <cell r="J622">
            <v>8.360069834752102E-3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3.9717127841161071E-5</v>
          </cell>
          <cell r="F623">
            <v>1.0356950224765213</v>
          </cell>
          <cell r="G623">
            <v>1.6073241393861377E-3</v>
          </cell>
          <cell r="H623">
            <v>0.12232001697206127</v>
          </cell>
          <cell r="I623">
            <v>7.2562730294555247E-2</v>
          </cell>
          <cell r="J623">
            <v>6.1082099984938812E-2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9.6871043515027041E-7</v>
          </cell>
          <cell r="F624">
            <v>2.5260854206744402E-2</v>
          </cell>
          <cell r="G624">
            <v>3.9203027789905757E-5</v>
          </cell>
          <cell r="H624">
            <v>2.9834150480990565E-3</v>
          </cell>
          <cell r="I624">
            <v>1.769822690111104E-3</v>
          </cell>
          <cell r="J624">
            <v>1.4898073167058255E-3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4.7427167023839599E-7</v>
          </cell>
          <cell r="F625">
            <v>2.6849246748132202E-7</v>
          </cell>
          <cell r="G625">
            <v>3.7630986720416401E-7</v>
          </cell>
          <cell r="H625">
            <v>4.3782938347113601E-7</v>
          </cell>
          <cell r="I625">
            <v>1.7431797897578E-4</v>
          </cell>
          <cell r="J625">
            <v>2.5346911475102501E-5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1.8857587909455034E-2</v>
          </cell>
          <cell r="F626">
            <v>1.8848452176198412E-2</v>
          </cell>
          <cell r="G626">
            <v>2.2342863840922184E-3</v>
          </cell>
          <cell r="H626">
            <v>2.2268739527852924E-3</v>
          </cell>
          <cell r="I626">
            <v>1.3209353972306298E-3</v>
          </cell>
          <cell r="J626">
            <v>1.1123705788236705E-3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3.1728287262799433E-4</v>
          </cell>
          <cell r="F627">
            <v>1.3346052574165876E-3</v>
          </cell>
          <cell r="G627">
            <v>1.352620412840485E-3</v>
          </cell>
          <cell r="H627">
            <v>9.6262629509959285E-2</v>
          </cell>
          <cell r="I627">
            <v>0.14833705064316668</v>
          </cell>
          <cell r="J627">
            <v>0.19919037578508539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3.172828726279945E-4</v>
          </cell>
          <cell r="F628">
            <v>1.3346052574165885E-3</v>
          </cell>
          <cell r="G628">
            <v>1.3526204128404861E-3</v>
          </cell>
          <cell r="H628">
            <v>9.626262950995941E-2</v>
          </cell>
          <cell r="I628">
            <v>0.14833705064316691</v>
          </cell>
          <cell r="J628">
            <v>0.19919037578508547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3.5317831374089763E-4</v>
          </cell>
          <cell r="F629">
            <v>1.4780731968715047E-3</v>
          </cell>
          <cell r="G629">
            <v>1.4961652053054179E-3</v>
          </cell>
          <cell r="H629">
            <v>0.10645372588491891</v>
          </cell>
          <cell r="I629">
            <v>0.16404098483140661</v>
          </cell>
          <cell r="J629">
            <v>0.22027780615787823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3.5317831374089763E-4</v>
          </cell>
          <cell r="F630">
            <v>1.4780731968715047E-3</v>
          </cell>
          <cell r="G630">
            <v>1.4961652053054179E-3</v>
          </cell>
          <cell r="H630">
            <v>0.10645372588491891</v>
          </cell>
          <cell r="I630">
            <v>0.16404098483140661</v>
          </cell>
          <cell r="J630">
            <v>0.22027780615787823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5.4562426726432502E-4</v>
          </cell>
          <cell r="F631">
            <v>1.4568155579695899E-6</v>
          </cell>
          <cell r="G631">
            <v>6.3359897029696699E-6</v>
          </cell>
          <cell r="H631">
            <v>4.01136596199708E-2</v>
          </cell>
          <cell r="I631">
            <v>4.3747643065273803E-2</v>
          </cell>
          <cell r="J631">
            <v>8.2431382795622204E-2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5.4832369675182353E-4</v>
          </cell>
          <cell r="F632">
            <v>5.494327311763446E-4</v>
          </cell>
          <cell r="G632">
            <v>5.5533850673478526E-4</v>
          </cell>
          <cell r="H632">
            <v>4.0519301529268061E-2</v>
          </cell>
          <cell r="I632">
            <v>7.8111449287253137E-2</v>
          </cell>
          <cell r="J632">
            <v>0.10915439535659686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6.2295563048297646</v>
          </cell>
          <cell r="F633">
            <v>8.3047387312478805E-4</v>
          </cell>
          <cell r="G633">
            <v>9.2619791741118144E-4</v>
          </cell>
          <cell r="H633">
            <v>1.9468119262323126E-4</v>
          </cell>
          <cell r="I633">
            <v>1.8982870692855588E-4</v>
          </cell>
          <cell r="J633">
            <v>1.1458107527795156E-4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6.2295563048297646</v>
          </cell>
          <cell r="F634">
            <v>8.3047387312478805E-4</v>
          </cell>
          <cell r="G634">
            <v>9.2619791741118144E-4</v>
          </cell>
          <cell r="H634">
            <v>1.9468119262323126E-4</v>
          </cell>
          <cell r="I634">
            <v>1.8982870692855588E-4</v>
          </cell>
          <cell r="J634">
            <v>1.1458107527795156E-4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1.1537135924950201E-6</v>
          </cell>
          <cell r="F635">
            <v>1.2468422016672099E-6</v>
          </cell>
          <cell r="G635">
            <v>1.9575000652758901E-6</v>
          </cell>
          <cell r="H635">
            <v>1.9310361807875401E-6</v>
          </cell>
          <cell r="I635">
            <v>1.6673168346723099E-6</v>
          </cell>
          <cell r="J635">
            <v>3.39852229396479E-6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0.23825483131744796</v>
          </cell>
          <cell r="F636">
            <v>5.1336589284001199E-4</v>
          </cell>
          <cell r="G636">
            <v>5.0838143364995148E-4</v>
          </cell>
          <cell r="H636">
            <v>5.0280407278746608E-4</v>
          </cell>
          <cell r="I636">
            <v>5.0148369446012531E-4</v>
          </cell>
          <cell r="J636">
            <v>5.026614513004013E-4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46.398476168316854</v>
          </cell>
          <cell r="F637">
            <v>23.570237274167592</v>
          </cell>
          <cell r="G637">
            <v>19.886815906386978</v>
          </cell>
          <cell r="H637">
            <v>9.3549973988601458</v>
          </cell>
          <cell r="I637">
            <v>8.4785677161720372</v>
          </cell>
          <cell r="J637">
            <v>6.024327301344881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46.398476168316854</v>
          </cell>
          <cell r="F638">
            <v>23.570237274167592</v>
          </cell>
          <cell r="G638">
            <v>19.886815906386978</v>
          </cell>
          <cell r="H638">
            <v>9.3549973988601458</v>
          </cell>
          <cell r="I638">
            <v>8.4785677161720372</v>
          </cell>
          <cell r="J638">
            <v>6.024327301344881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1.7761238893706099E-6</v>
          </cell>
          <cell r="F639">
            <v>1.5606259621273801E-6</v>
          </cell>
          <cell r="G639">
            <v>2.0157117634202499E-6</v>
          </cell>
          <cell r="H639">
            <v>2.7077565064451202E-6</v>
          </cell>
          <cell r="I639">
            <v>3.1571395480696601E-6</v>
          </cell>
          <cell r="J639">
            <v>5.1938338872432297E-6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1.9079045709184901</v>
          </cell>
          <cell r="F640">
            <v>1.3472141667818902</v>
          </cell>
          <cell r="G640">
            <v>1.3472022490862403</v>
          </cell>
          <cell r="H640">
            <v>1.3471976720985444</v>
          </cell>
          <cell r="I640">
            <v>1.3471943047736614</v>
          </cell>
          <cell r="J640">
            <v>1.3471744201265725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7.0902557123893548E-5</v>
          </cell>
          <cell r="F641">
            <v>7.6781842769330392E-5</v>
          </cell>
          <cell r="G641">
            <v>3.2336665435390509E-5</v>
          </cell>
          <cell r="H641">
            <v>1.3654840537495423E-3</v>
          </cell>
          <cell r="I641">
            <v>2.0616792956453045E-3</v>
          </cell>
          <cell r="J641">
            <v>1.5327533140915375E-3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7.0902557123893385E-5</v>
          </cell>
          <cell r="F642">
            <v>7.6833030664509751E-5</v>
          </cell>
          <cell r="G642">
            <v>3.2370349461885675E-5</v>
          </cell>
          <cell r="H642">
            <v>1.3654840537495423E-3</v>
          </cell>
          <cell r="I642">
            <v>2.061679295645298E-3</v>
          </cell>
          <cell r="J642">
            <v>1.532753314091536E-3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5.5789988708443436E-5</v>
          </cell>
          <cell r="F643">
            <v>5.9895423238350103E-5</v>
          </cell>
          <cell r="G643">
            <v>2.5909694995772025E-5</v>
          </cell>
          <cell r="H643">
            <v>1.7078971066285026E-3</v>
          </cell>
          <cell r="I643">
            <v>2.4265609670842195E-3</v>
          </cell>
          <cell r="J643">
            <v>1.704097097368205E-3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5.5789988708443436E-5</v>
          </cell>
          <cell r="F644">
            <v>5.9895423238350103E-5</v>
          </cell>
          <cell r="G644">
            <v>2.5909694995772025E-5</v>
          </cell>
          <cell r="H644">
            <v>1.7078971066285026E-3</v>
          </cell>
          <cell r="I644">
            <v>2.4265609670842195E-3</v>
          </cell>
          <cell r="J644">
            <v>1.704097097368205E-3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2.7051776546730801E-3</v>
          </cell>
          <cell r="F645">
            <v>6.6808275510622401E-5</v>
          </cell>
          <cell r="G645">
            <v>1.02172279268277E-4</v>
          </cell>
          <cell r="H645">
            <v>8.2936249987180404E-5</v>
          </cell>
          <cell r="I645">
            <v>2.5340223049418001E-4</v>
          </cell>
          <cell r="J645">
            <v>4.9837938644787605E-4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2.7051776546730801E-3</v>
          </cell>
          <cell r="F646">
            <v>2.7640614233088545E-3</v>
          </cell>
          <cell r="G646">
            <v>2.8456534787465048E-3</v>
          </cell>
          <cell r="H646">
            <v>2.8956381869096391E-3</v>
          </cell>
          <cell r="I646">
            <v>3.7445563972439066E-3</v>
          </cell>
          <cell r="J646">
            <v>2.1227023436157563E-3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4.27658107031305E-2</v>
          </cell>
          <cell r="I647">
            <v>0.168150653711236</v>
          </cell>
          <cell r="J647">
            <v>4.3479731421362501E-2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3.1846880310841807E-4</v>
          </cell>
          <cell r="I648">
            <v>1.311813610513191E-3</v>
          </cell>
          <cell r="J648">
            <v>3.4691275070236084E-4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3.5668505948142866E-4</v>
          </cell>
          <cell r="I649">
            <v>1.3905224271439822E-3</v>
          </cell>
          <cell r="J649">
            <v>3.4691275070236084E-4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7.5825905502004294E-4</v>
          </cell>
          <cell r="I650">
            <v>2.9813945693481611E-3</v>
          </cell>
          <cell r="J650">
            <v>7.7091722378302529E-4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3.7909769702490498E-5</v>
          </cell>
          <cell r="I651">
            <v>2.1207460606300499E-5</v>
          </cell>
          <cell r="J651">
            <v>2.5769177235860998E-7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3.7909769702490498E-5</v>
          </cell>
          <cell r="I652">
            <v>1.1657930094200367E-4</v>
          </cell>
          <cell r="J652">
            <v>7.5965414283533025E-5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12.753359835725325</v>
          </cell>
          <cell r="F653">
            <v>6.3477257548650635E-4</v>
          </cell>
          <cell r="G653">
            <v>5.8738190422753887E-4</v>
          </cell>
          <cell r="H653">
            <v>2.4499124513244327E-4</v>
          </cell>
          <cell r="I653">
            <v>8.8005064445023163E-4</v>
          </cell>
          <cell r="J653">
            <v>4.8209209762435689E-4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12.753359835725325</v>
          </cell>
          <cell r="F654">
            <v>6.3477257548650635E-4</v>
          </cell>
          <cell r="G654">
            <v>5.8738190422753887E-4</v>
          </cell>
          <cell r="H654">
            <v>2.4499124513244327E-4</v>
          </cell>
          <cell r="I654">
            <v>8.8005064445023163E-4</v>
          </cell>
          <cell r="J654">
            <v>4.8209209762435689E-4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1.7297825354266399E-6</v>
          </cell>
          <cell r="F655">
            <v>1.6011561413131401E-6</v>
          </cell>
          <cell r="G655">
            <v>2.7770113699653299E-6</v>
          </cell>
          <cell r="H655">
            <v>2.83560981439422E-6</v>
          </cell>
          <cell r="I655">
            <v>2.2810346949908199E-6</v>
          </cell>
          <cell r="J655">
            <v>3.57947937816863E-6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1.2999952972439002</v>
          </cell>
          <cell r="F656">
            <v>5.8774446345011278E-4</v>
          </cell>
          <cell r="G656">
            <v>5.7693306680994816E-4</v>
          </cell>
          <cell r="H656">
            <v>5.7053980169663454E-4</v>
          </cell>
          <cell r="I656">
            <v>5.6999557055115169E-4</v>
          </cell>
          <cell r="J656">
            <v>5.70710145401776E-4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3.1728466105753454E-4</v>
          </cell>
          <cell r="F657">
            <v>1.3355509726545342E-3</v>
          </cell>
          <cell r="G657">
            <v>1.3536607706350838E-3</v>
          </cell>
          <cell r="H657">
            <v>0.116546992982096</v>
          </cell>
          <cell r="I657">
            <v>0.15396267383307183</v>
          </cell>
          <cell r="J657">
            <v>0.20488373430107201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3.1728466105753486E-4</v>
          </cell>
          <cell r="F658">
            <v>1.3355509726545355E-3</v>
          </cell>
          <cell r="G658">
            <v>1.3536607706350851E-3</v>
          </cell>
          <cell r="H658">
            <v>0.11654699298209611</v>
          </cell>
          <cell r="I658">
            <v>0.15396267383307199</v>
          </cell>
          <cell r="J658">
            <v>0.20488373430107215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3.5318029150097145E-4</v>
          </cell>
          <cell r="F659">
            <v>1.4791190300603811E-3</v>
          </cell>
          <cell r="G659">
            <v>1.4973157003660802E-3</v>
          </cell>
          <cell r="H659">
            <v>0.12888548936536165</v>
          </cell>
          <cell r="I659">
            <v>0.17026216242121645</v>
          </cell>
          <cell r="J659">
            <v>0.22657389091379004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3.5318029150097145E-4</v>
          </cell>
          <cell r="F660">
            <v>1.4791190300603811E-3</v>
          </cell>
          <cell r="G660">
            <v>1.4973157003660802E-3</v>
          </cell>
          <cell r="H660">
            <v>0.12888548936536165</v>
          </cell>
          <cell r="I660">
            <v>0.17026216242121645</v>
          </cell>
          <cell r="J660">
            <v>0.22657389091379004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5.4602874342133203E-4</v>
          </cell>
          <cell r="F661">
            <v>1.4556600423813101E-6</v>
          </cell>
          <cell r="G661">
            <v>6.4444969517996596E-6</v>
          </cell>
          <cell r="H661">
            <v>4.8755303836843997E-2</v>
          </cell>
          <cell r="I661">
            <v>5.3777741480940701E-2</v>
          </cell>
          <cell r="J661">
            <v>8.2057784760385194E-2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5.4872818889165694E-4</v>
          </cell>
          <cell r="F662">
            <v>5.498356373489485E-4</v>
          </cell>
          <cell r="G662">
            <v>5.5585078972461609E-4</v>
          </cell>
          <cell r="H662">
            <v>4.9161356197930196E-2</v>
          </cell>
          <cell r="I662">
            <v>8.1224966190232492E-2</v>
          </cell>
          <cell r="J662">
            <v>0.11232855547867118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1.9347926093408205</v>
          </cell>
          <cell r="F663">
            <v>1.9372794729880576</v>
          </cell>
          <cell r="G663">
            <v>2.550289323613431</v>
          </cell>
          <cell r="H663">
            <v>2.4032644078449863</v>
          </cell>
          <cell r="I663">
            <v>0.6844777086440148</v>
          </cell>
          <cell r="J663">
            <v>1.5279966494679008E-4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0.23004155471366408</v>
          </cell>
          <cell r="F664">
            <v>0.23987916653283056</v>
          </cell>
          <cell r="G664">
            <v>0.33670624457386633</v>
          </cell>
          <cell r="H664">
            <v>0.35668222617679135</v>
          </cell>
          <cell r="I664">
            <v>0.13513769937869011</v>
          </cell>
          <cell r="J664">
            <v>4.5043787111660378E-5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344.47007915792602</v>
          </cell>
          <cell r="F665">
            <v>359.20250606221703</v>
          </cell>
          <cell r="G665">
            <v>504.19562840053999</v>
          </cell>
          <cell r="H665">
            <v>534.10835725399897</v>
          </cell>
          <cell r="I665">
            <v>202.35988597441801</v>
          </cell>
          <cell r="J665">
            <v>6.7450131722524204E-2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3.7119620598914445</v>
          </cell>
          <cell r="F666">
            <v>3.8707166601532075</v>
          </cell>
          <cell r="G666">
            <v>5.4331425474196156</v>
          </cell>
          <cell r="H666">
            <v>5.7554779876508491</v>
          </cell>
          <cell r="I666">
            <v>2.1806022195519152</v>
          </cell>
          <cell r="J666">
            <v>7.2683331597547677E-4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2.6368407916746701E-7</v>
          </cell>
          <cell r="G667">
            <v>6.4882284662464202E-7</v>
          </cell>
          <cell r="H667">
            <v>2.4829587526598901E-3</v>
          </cell>
          <cell r="I667">
            <v>1.19004160893633E-7</v>
          </cell>
          <cell r="J667">
            <v>3.3530906496917901E-8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4.9148341458666631E-2</v>
          </cell>
          <cell r="F668">
            <v>1.3775678429669667E-2</v>
          </cell>
          <cell r="G668">
            <v>1.3775068337312193E-2</v>
          </cell>
          <cell r="H668">
            <v>1.4511970202943078E-2</v>
          </cell>
          <cell r="I668">
            <v>1.1832502160360196E-2</v>
          </cell>
          <cell r="J668">
            <v>1.0932457449894066E-4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9.2173447452090313E-5</v>
          </cell>
          <cell r="F669">
            <v>7.4732864913854826E-3</v>
          </cell>
          <cell r="G669">
            <v>9.4495850753995178E-2</v>
          </cell>
          <cell r="H669">
            <v>9.4493485534884625E-2</v>
          </cell>
          <cell r="I669">
            <v>8.4545019075509584E-2</v>
          </cell>
          <cell r="J669">
            <v>5.6152076040370542E-2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9.2173447452090245E-5</v>
          </cell>
          <cell r="F670">
            <v>7.4732864913854748E-3</v>
          </cell>
          <cell r="G670">
            <v>9.4495850753995123E-2</v>
          </cell>
          <cell r="H670">
            <v>9.4493485534884541E-2</v>
          </cell>
          <cell r="I670">
            <v>8.4545019075509431E-2</v>
          </cell>
          <cell r="J670">
            <v>5.6152076040370473E-2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1.3721134605242029E-4</v>
          </cell>
          <cell r="F671">
            <v>1.067861511965848E-2</v>
          </cell>
          <cell r="G671">
            <v>0.13499499222981848</v>
          </cell>
          <cell r="H671">
            <v>0.13499164466494157</v>
          </cell>
          <cell r="I671">
            <v>0.12078021715697322</v>
          </cell>
          <cell r="J671">
            <v>8.021846081338814E-2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1.3721134605242029E-4</v>
          </cell>
          <cell r="F672">
            <v>1.067861511965848E-2</v>
          </cell>
          <cell r="G672">
            <v>0.13499499222981848</v>
          </cell>
          <cell r="H672">
            <v>0.13499164466494157</v>
          </cell>
          <cell r="I672">
            <v>0.12078021715697322</v>
          </cell>
          <cell r="J672">
            <v>8.021846081338814E-2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9.7343613134990694E-7</v>
          </cell>
          <cell r="G673">
            <v>9.5651841786642499E-7</v>
          </cell>
          <cell r="H673">
            <v>9.4084164262896297E-7</v>
          </cell>
          <cell r="I673">
            <v>1.60921823767895E-6</v>
          </cell>
          <cell r="J673">
            <v>1.1946147502706699E-6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9.9997772652292399E-2</v>
          </cell>
          <cell r="G674">
            <v>9.9997766288969489E-2</v>
          </cell>
          <cell r="H674">
            <v>9.999780214760487E-2</v>
          </cell>
          <cell r="I674">
            <v>9.9999398356292152E-2</v>
          </cell>
          <cell r="J674">
            <v>9.9999433257765516E-2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H675">
            <v>2.0002703253408204E-4</v>
          </cell>
          <cell r="I675">
            <v>2.0251528751179804E-4</v>
          </cell>
          <cell r="J675">
            <v>0.24489838355122867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H676">
            <v>2.0002703253408204E-4</v>
          </cell>
          <cell r="I676">
            <v>2.0251528751179804E-4</v>
          </cell>
          <cell r="J676">
            <v>0.24489838355122867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3.4004495928284999E-5</v>
          </cell>
          <cell r="I677">
            <v>3.6403872711158601E-7</v>
          </cell>
          <cell r="J677">
            <v>3.6954404439345397E-2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3.4004495928284999E-5</v>
          </cell>
          <cell r="I678">
            <v>3.6714431711107199E-5</v>
          </cell>
          <cell r="J678">
            <v>3.6965480223617203E-2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11.074055155590299</v>
          </cell>
          <cell r="F679">
            <v>0.16060057540019801</v>
          </cell>
          <cell r="G679">
            <v>0.65954618538167598</v>
          </cell>
          <cell r="H679">
            <v>4.5208343549815098</v>
          </cell>
          <cell r="I679">
            <v>20.2566329110563</v>
          </cell>
          <cell r="J679">
            <v>5.2858093613561197E-2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0.1141895527449623</v>
          </cell>
          <cell r="F680">
            <v>1.6337405824493115E-3</v>
          </cell>
          <cell r="G680">
            <v>5.630229395205146E-3</v>
          </cell>
          <cell r="H680">
            <v>1.3320556897103905E-3</v>
          </cell>
          <cell r="I680">
            <v>0.22054833028501586</v>
          </cell>
          <cell r="J680">
            <v>4.9378486896179048E-4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5.2563444914347633E-2</v>
          </cell>
          <cell r="F681">
            <v>7.59432734949187E-4</v>
          </cell>
          <cell r="G681">
            <v>2.6563446712735755E-3</v>
          </cell>
          <cell r="H681">
            <v>6.4454307566631699E-4</v>
          </cell>
          <cell r="I681">
            <v>0.10937762721452012</v>
          </cell>
          <cell r="J681">
            <v>2.5093985143959861E-4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0.19634849566649523</v>
          </cell>
          <cell r="F682">
            <v>2.8475279326276182E-3</v>
          </cell>
          <cell r="G682">
            <v>1.1694081301093558E-2</v>
          </cell>
          <cell r="H682">
            <v>8.0156637499672098E-2</v>
          </cell>
          <cell r="I682">
            <v>0.35916015799745127</v>
          </cell>
          <cell r="J682">
            <v>9.3720024137519925E-4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1.6348474341407799E-7</v>
          </cell>
          <cell r="G683">
            <v>9.0141766149956899E-6</v>
          </cell>
          <cell r="H683">
            <v>1.4494243929705001E-6</v>
          </cell>
          <cell r="I683">
            <v>8.0324224475720393E-3</v>
          </cell>
          <cell r="J683">
            <v>2.4749710660434699E-7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8.4604423320026809E-3</v>
          </cell>
          <cell r="F684">
            <v>2.2846485228455483E-4</v>
          </cell>
          <cell r="G684">
            <v>2.3609547106836007E-4</v>
          </cell>
          <cell r="H684">
            <v>1.9403988892592074E-4</v>
          </cell>
          <cell r="I684">
            <v>8.1165174058978502E-3</v>
          </cell>
          <cell r="J684">
            <v>7.5708970787300225E-5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7.5496595737343659</v>
          </cell>
          <cell r="I685">
            <v>10.644024324773579</v>
          </cell>
          <cell r="J685">
            <v>33.235517594442321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7.6259187613478563</v>
          </cell>
          <cell r="I686">
            <v>10.751539721993518</v>
          </cell>
          <cell r="J686">
            <v>33.571229893376078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1.01386133160892</v>
          </cell>
          <cell r="I687">
            <v>0.38430020074293503</v>
          </cell>
          <cell r="J687">
            <v>3.0338579457641401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1.01386133160892</v>
          </cell>
          <cell r="I688">
            <v>1.42941832417471</v>
          </cell>
          <cell r="J688">
            <v>4.4632762699388397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4.0476743803534765</v>
          </cell>
          <cell r="F689">
            <v>4.5839552013394131</v>
          </cell>
          <cell r="G689">
            <v>3.043077327467596</v>
          </cell>
          <cell r="H689">
            <v>3.0325902990305615</v>
          </cell>
          <cell r="I689">
            <v>2.9501120867446224</v>
          </cell>
          <cell r="J689">
            <v>2.8715230456691416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4.0476743803534765</v>
          </cell>
          <cell r="F690">
            <v>4.5839552013394131</v>
          </cell>
          <cell r="G690">
            <v>3.043077327467596</v>
          </cell>
          <cell r="H690">
            <v>3.0325902990305615</v>
          </cell>
          <cell r="I690">
            <v>2.9501120867446224</v>
          </cell>
          <cell r="J690">
            <v>2.8715230456691416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1.4243097261480884</v>
          </cell>
          <cell r="F691">
            <v>1.578362182741865</v>
          </cell>
          <cell r="G691">
            <v>1.4829576151177315</v>
          </cell>
          <cell r="H691">
            <v>1.3239507472379881</v>
          </cell>
          <cell r="I691">
            <v>1.0059374263525642</v>
          </cell>
          <cell r="J691">
            <v>1.0059375047624979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0.95936552428690025</v>
          </cell>
          <cell r="F692">
            <v>1.1059705816062375</v>
          </cell>
          <cell r="G692">
            <v>1.1059703770352236</v>
          </cell>
          <cell r="H692">
            <v>1.1059705927620216</v>
          </cell>
          <cell r="I692">
            <v>1.1059716849444003</v>
          </cell>
          <cell r="J692">
            <v>1.1059717711517187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2.6453960652801176</v>
          </cell>
          <cell r="F693">
            <v>3.046730892366059</v>
          </cell>
          <cell r="G693">
            <v>3.043077327467596</v>
          </cell>
          <cell r="H693">
            <v>3.0325902990305615</v>
          </cell>
          <cell r="I693">
            <v>2.9501120867446224</v>
          </cell>
          <cell r="J693">
            <v>2.8715230456691416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2.61903233451545E-2</v>
          </cell>
          <cell r="G694">
            <v>6.5666209231480298E-3</v>
          </cell>
          <cell r="H694">
            <v>1.22249675603109E-2</v>
          </cell>
          <cell r="I694">
            <v>3.1153514277103202E-2</v>
          </cell>
          <cell r="J694">
            <v>4.3491717003843001E-2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7.35127E-2</v>
          </cell>
          <cell r="F695">
            <v>8.4746893117450012E-2</v>
          </cell>
          <cell r="G695">
            <v>8.4746613492131473E-2</v>
          </cell>
          <cell r="H695">
            <v>8.4748070264755962E-2</v>
          </cell>
          <cell r="I695">
            <v>8.4748153433487211E-2</v>
          </cell>
          <cell r="J695">
            <v>8.4747382334733987E-2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1.2400913224802576E-3</v>
          </cell>
          <cell r="I696">
            <v>1.3185933213621496E-3</v>
          </cell>
          <cell r="J696">
            <v>8.4380336367481559E-4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9.3333189007724718E-4</v>
          </cell>
          <cell r="I697">
            <v>8.3020612978875993E-4</v>
          </cell>
          <cell r="J697">
            <v>4.7693233599011361E-4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2.6107185736426513E-3</v>
          </cell>
          <cell r="I698">
            <v>2.442480138004537E-3</v>
          </cell>
          <cell r="J698">
            <v>1.4675266471638757E-3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7.3824064587983999E-5</v>
          </cell>
          <cell r="I699">
            <v>3.03406385433641E-5</v>
          </cell>
          <cell r="J699">
            <v>5.54664114735803E-5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7.3824064587983999E-5</v>
          </cell>
          <cell r="I700">
            <v>1.017476065963696E-4</v>
          </cell>
          <cell r="J700">
            <v>8.635875095819396E-5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3.1736986258691429E-4</v>
          </cell>
          <cell r="F701">
            <v>1.3345702892550743E-3</v>
          </cell>
          <cell r="G701">
            <v>1.3525688398971969E-3</v>
          </cell>
          <cell r="H701">
            <v>9.6287138769728359E-2</v>
          </cell>
          <cell r="I701">
            <v>0.14841293989222551</v>
          </cell>
          <cell r="J701">
            <v>0.1994471451208405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3.1736986258691478E-4</v>
          </cell>
          <cell r="F702">
            <v>1.3345702892550752E-3</v>
          </cell>
          <cell r="G702">
            <v>1.352568839897198E-3</v>
          </cell>
          <cell r="H702">
            <v>9.6287138769728442E-2</v>
          </cell>
          <cell r="I702">
            <v>0.14841293989222559</v>
          </cell>
          <cell r="J702">
            <v>0.19944714512084083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3.5327451287278883E-4</v>
          </cell>
          <cell r="F703">
            <v>1.4780381304912746E-3</v>
          </cell>
          <cell r="G703">
            <v>1.4961081726029748E-3</v>
          </cell>
          <cell r="H703">
            <v>0.10648082981248262</v>
          </cell>
          <cell r="I703">
            <v>0.16412490809676747</v>
          </cell>
          <cell r="J703">
            <v>0.22056175832706909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3.5327451287278883E-4</v>
          </cell>
          <cell r="F704">
            <v>1.4780381304912746E-3</v>
          </cell>
          <cell r="G704">
            <v>1.4961081726029748E-3</v>
          </cell>
          <cell r="H704">
            <v>0.10648082981248262</v>
          </cell>
          <cell r="I704">
            <v>0.16412490809676747</v>
          </cell>
          <cell r="J704">
            <v>0.22056175832706909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5.4560845649881103E-4</v>
          </cell>
          <cell r="F705">
            <v>1.4566819106385301E-6</v>
          </cell>
          <cell r="G705">
            <v>6.3343810463802203E-6</v>
          </cell>
          <cell r="H705">
            <v>4.0123885613773197E-2</v>
          </cell>
          <cell r="I705">
            <v>4.3768112042262899E-2</v>
          </cell>
          <cell r="J705">
            <v>8.2558306303929893E-2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5.48307842684246E-4</v>
          </cell>
          <cell r="F706">
            <v>5.4941671529270218E-4</v>
          </cell>
          <cell r="G706">
            <v>5.5532084382552854E-4</v>
          </cell>
          <cell r="H706">
            <v>4.0529514303860946E-2</v>
          </cell>
          <cell r="I706">
            <v>7.8151600943513852E-2</v>
          </cell>
          <cell r="J706">
            <v>0.10929472039566086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2101.94194039984</v>
          </cell>
          <cell r="F707">
            <v>1819.5418082249901</v>
          </cell>
          <cell r="G707">
            <v>1736.4613995039899</v>
          </cell>
          <cell r="H707">
            <v>592.68308622974405</v>
          </cell>
          <cell r="I707">
            <v>390.66215365749099</v>
          </cell>
          <cell r="J707">
            <v>67.510452742815104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37.474687541245203</v>
          </cell>
          <cell r="F708">
            <v>32.158995638216773</v>
          </cell>
          <cell r="G708">
            <v>30.708864906995288</v>
          </cell>
          <cell r="H708">
            <v>10.689788204761255</v>
          </cell>
          <cell r="I708">
            <v>9.3869793938538848</v>
          </cell>
          <cell r="J708">
            <v>3.7866607593342301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37.268474120564626</v>
          </cell>
          <cell r="F709">
            <v>32.261379578457195</v>
          </cell>
          <cell r="G709">
            <v>30.788322686241013</v>
          </cell>
          <cell r="H709">
            <v>10.508565358683409</v>
          </cell>
          <cell r="I709">
            <v>6.9266339300973572</v>
          </cell>
          <cell r="J709">
            <v>1.1969938429577143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0.3259307915564153</v>
          </cell>
          <cell r="F710">
            <v>3.8060215178050441E-4</v>
          </cell>
          <cell r="G710">
            <v>4.9050829101542201E-4</v>
          </cell>
          <cell r="H710">
            <v>4.9296753835347418E-4</v>
          </cell>
          <cell r="I710">
            <v>2.4632721419025159</v>
          </cell>
          <cell r="J710">
            <v>2.4998148395144533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1.8154853822327538E-2</v>
          </cell>
          <cell r="H711">
            <v>0.2149150247591389</v>
          </cell>
          <cell r="I711">
            <v>2.7262863211251587E-2</v>
          </cell>
          <cell r="J711">
            <v>0.10202260661020193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1.7288079234559601E-6</v>
          </cell>
          <cell r="F712">
            <v>8.3408147524758097E-7</v>
          </cell>
          <cell r="G712">
            <v>1.3811491944818501E-6</v>
          </cell>
          <cell r="H712">
            <v>2.9935470824506301E-6</v>
          </cell>
          <cell r="I712">
            <v>7.2853859556788797E-6</v>
          </cell>
          <cell r="J712">
            <v>1.82997558410783E-5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1.9844850990740235</v>
          </cell>
          <cell r="F713">
            <v>1.9844859331554987</v>
          </cell>
          <cell r="G713">
            <v>1.9844873143046933</v>
          </cell>
          <cell r="H713">
            <v>1.9844903078517757</v>
          </cell>
          <cell r="I713">
            <v>1.9845028436095267</v>
          </cell>
          <cell r="J713">
            <v>1.0954972105451877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0.54529233979626501</v>
          </cell>
          <cell r="G714">
            <v>0.50410702126395956</v>
          </cell>
          <cell r="H714">
            <v>2.5237590781330628</v>
          </cell>
          <cell r="I714">
            <v>5.2768108596067673</v>
          </cell>
          <cell r="J714">
            <v>10.794166491072341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0.54529233979626501</v>
          </cell>
          <cell r="G715">
            <v>0.50410702126395956</v>
          </cell>
          <cell r="H715">
            <v>2.5237590781330628</v>
          </cell>
          <cell r="I715">
            <v>5.2768108596067673</v>
          </cell>
          <cell r="J715">
            <v>10.794166491072341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7.13216662570314E-3</v>
          </cell>
          <cell r="G716">
            <v>1.56627110413343E-4</v>
          </cell>
          <cell r="H716">
            <v>0.35863617447107399</v>
          </cell>
          <cell r="I716">
            <v>0.36806442931294397</v>
          </cell>
          <cell r="J716">
            <v>1.2196357912440099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9.0660054662310335E-2</v>
          </cell>
          <cell r="G717">
            <v>8.3812599266652688E-2</v>
          </cell>
          <cell r="H717">
            <v>0.41959902891599632</v>
          </cell>
          <cell r="I717">
            <v>0.87732032817528871</v>
          </cell>
          <cell r="J717">
            <v>1.7946333573857201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I718">
            <v>1.5300906530899513E-2</v>
          </cell>
          <cell r="J718">
            <v>1.5455372191332436E-2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I719">
            <v>0.10200604353933014</v>
          </cell>
          <cell r="J719">
            <v>0.10303581460888278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I720">
            <v>6.0738974292339604E-4</v>
          </cell>
          <cell r="J720">
            <v>6.0981724984107003E-6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I721">
            <v>6.0738974292339604E-4</v>
          </cell>
          <cell r="J721">
            <v>6.1347193174805705E-4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2.0856353375040459</v>
          </cell>
          <cell r="F722">
            <v>2.4000917538240611</v>
          </cell>
          <cell r="G722">
            <v>0.61690733980762757</v>
          </cell>
          <cell r="H722">
            <v>1.1279259295440145</v>
          </cell>
          <cell r="I722">
            <v>1.794546048410405</v>
          </cell>
          <cell r="J722">
            <v>1.8313019711807192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2.0856353375040459</v>
          </cell>
          <cell r="F723">
            <v>2.4000917538240611</v>
          </cell>
          <cell r="G723">
            <v>0.61690733980762757</v>
          </cell>
          <cell r="H723">
            <v>1.1279259295440145</v>
          </cell>
          <cell r="I723">
            <v>1.794546048410405</v>
          </cell>
          <cell r="J723">
            <v>1.8313019711807192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3.3906652617710278</v>
          </cell>
          <cell r="G724">
            <v>7.9725401478220776</v>
          </cell>
          <cell r="H724">
            <v>13.99911370888168</v>
          </cell>
          <cell r="I724">
            <v>13.793776922203048</v>
          </cell>
          <cell r="J724">
            <v>3.4439828530722458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3.3906652617710278</v>
          </cell>
          <cell r="G725">
            <v>7.9725401478220776</v>
          </cell>
          <cell r="H725">
            <v>13.99911370888168</v>
          </cell>
          <cell r="I725">
            <v>13.793776922203048</v>
          </cell>
          <cell r="J725">
            <v>3.4439828530722458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3.39066526177103</v>
          </cell>
          <cell r="G726">
            <v>7.9725401478220697</v>
          </cell>
          <cell r="H726">
            <v>13.999113708881699</v>
          </cell>
          <cell r="I726">
            <v>13.793776922203</v>
          </cell>
          <cell r="J726">
            <v>3.4439828530722498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3.8291571764469299E-8</v>
          </cell>
          <cell r="G727">
            <v>1.2545613629825101</v>
          </cell>
          <cell r="H727">
            <v>1.52870072425847</v>
          </cell>
          <cell r="I727">
            <v>4.3463094410290804E-6</v>
          </cell>
          <cell r="J727">
            <v>1.8864941745080899E-4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1.1558999559697216</v>
          </cell>
          <cell r="G728">
            <v>2.5437184012740799</v>
          </cell>
          <cell r="H728">
            <v>4.0355362905889294</v>
          </cell>
          <cell r="I728">
            <v>3.9763436521960518</v>
          </cell>
          <cell r="J728">
            <v>0.99279984237346497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6.5705537765287283E-3</v>
          </cell>
          <cell r="J729">
            <v>0.25755334510381006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-6.57055377652873E-3</v>
          </cell>
          <cell r="J730">
            <v>-0.25755334510381001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4.3688796914099237E-5</v>
          </cell>
          <cell r="J731">
            <v>1.6415859110878923E-3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9.1111679034531714E-6</v>
          </cell>
          <cell r="J732">
            <v>2.343735440444674E-4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1.8121879053248299E-3</v>
          </cell>
          <cell r="J733">
            <v>3.1552923185536597E-2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1.8121879053248299E-3</v>
          </cell>
          <cell r="J734">
            <v>3.2858692783673114E-2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1.8759516973765499E-2</v>
          </cell>
          <cell r="G735">
            <v>5.1878284356090078E-2</v>
          </cell>
          <cell r="H735">
            <v>0.71722512503438185</v>
          </cell>
          <cell r="I735">
            <v>0.70763277959266957</v>
          </cell>
          <cell r="J735">
            <v>0.73164542286876055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1.8759516973765499E-2</v>
          </cell>
          <cell r="G736">
            <v>5.1878284356090078E-2</v>
          </cell>
          <cell r="H736">
            <v>0.71722512503438185</v>
          </cell>
          <cell r="I736">
            <v>0.70763277959266957</v>
          </cell>
          <cell r="J736">
            <v>0.73164542286876055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2.4306650302940301E-3</v>
          </cell>
          <cell r="G737">
            <v>3.3800241721940799E-3</v>
          </cell>
          <cell r="H737">
            <v>6.9486462259743004E-2</v>
          </cell>
          <cell r="I737">
            <v>4.7750312959265699E-6</v>
          </cell>
          <cell r="J737">
            <v>7.6834214249627102E-8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2.4306650302940301E-3</v>
          </cell>
          <cell r="G738">
            <v>5.8106892024881096E-3</v>
          </cell>
          <cell r="H738">
            <v>7.5297151462231093E-2</v>
          </cell>
          <cell r="I738">
            <v>7.5302234928694395E-2</v>
          </cell>
          <cell r="J738">
            <v>7.5302311762908594E-2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2.9315692168091338E-4</v>
          </cell>
          <cell r="F739">
            <v>2.9188394439161967E-3</v>
          </cell>
          <cell r="G739">
            <v>3.6840894392247458E-3</v>
          </cell>
          <cell r="H739">
            <v>4.2985499937799937E-3</v>
          </cell>
          <cell r="I739">
            <v>3.5269631957753109E-2</v>
          </cell>
          <cell r="J739">
            <v>6.9632701697724144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2.9315692168091321E-4</v>
          </cell>
          <cell r="F740">
            <v>2.9188394439161962E-3</v>
          </cell>
          <cell r="G740">
            <v>3.6840894392247431E-3</v>
          </cell>
          <cell r="H740">
            <v>4.2985499937799919E-3</v>
          </cell>
          <cell r="I740">
            <v>3.5269631957753095E-2</v>
          </cell>
          <cell r="J740">
            <v>6.9632701697724109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3.2816308693873141E-4</v>
          </cell>
          <cell r="F741">
            <v>3.2640258467329154E-3</v>
          </cell>
          <cell r="G741">
            <v>4.1201846196800476E-3</v>
          </cell>
          <cell r="H741">
            <v>4.8076123355105882E-3</v>
          </cell>
          <cell r="I741">
            <v>3.943966813595022E-2</v>
          </cell>
          <cell r="J741">
            <v>7.7865441908831592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3.2816308693873141E-4</v>
          </cell>
          <cell r="F742">
            <v>3.2640258467329154E-3</v>
          </cell>
          <cell r="G742">
            <v>4.1201846196800476E-3</v>
          </cell>
          <cell r="H742">
            <v>4.8076123355105882E-3</v>
          </cell>
          <cell r="I742">
            <v>3.943966813595022E-2</v>
          </cell>
          <cell r="J742">
            <v>7.7865441908831592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4.87281855759361E-4</v>
          </cell>
          <cell r="F743">
            <v>1.4709586827423799E-6</v>
          </cell>
          <cell r="G743">
            <v>2.8174534863251499E-5</v>
          </cell>
          <cell r="H743">
            <v>2.0874513387730099E-4</v>
          </cell>
          <cell r="I743">
            <v>2.1611336705542202E-3</v>
          </cell>
          <cell r="J743">
            <v>1.8571587544601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4.87281855759361E-4</v>
          </cell>
          <cell r="F744">
            <v>4.8846802090115845E-4</v>
          </cell>
          <cell r="G744">
            <v>5.1637757814913246E-4</v>
          </cell>
          <cell r="H744">
            <v>5.9358450545964991E-4</v>
          </cell>
          <cell r="I744">
            <v>6.1613741665935461E-3</v>
          </cell>
          <cell r="J744">
            <v>1.8589374805410279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3.1736848691499113E-4</v>
          </cell>
          <cell r="F745">
            <v>1.3355119176968471E-3</v>
          </cell>
          <cell r="G745">
            <v>1.3536169784142402E-3</v>
          </cell>
          <cell r="H745">
            <v>0.11655570397411212</v>
          </cell>
          <cell r="I745">
            <v>0.15400154265539651</v>
          </cell>
          <cell r="J745">
            <v>0.20496371403028829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3.173684869149914E-4</v>
          </cell>
          <cell r="F746">
            <v>1.3355119176968484E-3</v>
          </cell>
          <cell r="G746">
            <v>1.3536169784142417E-3</v>
          </cell>
          <cell r="H746">
            <v>0.11655570397411223</v>
          </cell>
          <cell r="I746">
            <v>0.15400154265539664</v>
          </cell>
          <cell r="J746">
            <v>0.2049637140302884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3.5327299156541416E-4</v>
          </cell>
          <cell r="F747">
            <v>1.4790758405576333E-3</v>
          </cell>
          <cell r="G747">
            <v>1.4972672720906745E-3</v>
          </cell>
          <cell r="H747">
            <v>0.12889512254477387</v>
          </cell>
          <cell r="I747">
            <v>0.17030514612765543</v>
          </cell>
          <cell r="J747">
            <v>0.22666233768074417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3.5327299156541416E-4</v>
          </cell>
          <cell r="F748">
            <v>1.4790758405576333E-3</v>
          </cell>
          <cell r="G748">
            <v>1.4972672720906745E-3</v>
          </cell>
          <cell r="H748">
            <v>0.12889512254477387</v>
          </cell>
          <cell r="I748">
            <v>0.17030514612765543</v>
          </cell>
          <cell r="J748">
            <v>0.22666233768074417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5.4601310798533295E-4</v>
          </cell>
          <cell r="F749">
            <v>1.45554217101695E-6</v>
          </cell>
          <cell r="G749">
            <v>6.44434496649457E-6</v>
          </cell>
          <cell r="H749">
            <v>4.8758934764386003E-2</v>
          </cell>
          <cell r="I749">
            <v>5.3789800686061102E-2</v>
          </cell>
          <cell r="J749">
            <v>8.2094269826809202E-2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5.4871249798928948E-4</v>
          </cell>
          <cell r="F750">
            <v>5.4981979242650322E-4</v>
          </cell>
          <cell r="G750">
            <v>5.5583478819114902E-4</v>
          </cell>
          <cell r="H750">
            <v>4.9164975463741004E-2</v>
          </cell>
          <cell r="I750">
            <v>8.1245627541877835E-2</v>
          </cell>
          <cell r="J750">
            <v>0.11237248502472912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1.3782775351154508E-4</v>
          </cell>
          <cell r="J751">
            <v>1.1450083979739644E-4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1.6215029824887648E-4</v>
          </cell>
          <cell r="J752">
            <v>1.3470687034987819E-4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1.08641729410735E-5</v>
          </cell>
          <cell r="J753">
            <v>3.4938738790422999E-7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1.08641729410735E-5</v>
          </cell>
          <cell r="J754">
            <v>1.1213560328977699E-5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4.5892539191535214E-2</v>
          </cell>
          <cell r="J755">
            <v>638.45375885505416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-4.58925391915352E-2</v>
          </cell>
          <cell r="J756">
            <v>-638.45375885505405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2.5678365515888511E-4</v>
          </cell>
          <cell r="J757">
            <v>3.5723560460339367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1.0014562551196508E-4</v>
          </cell>
          <cell r="J758">
            <v>1.3932188579532334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7.3170502537524317E-4</v>
          </cell>
          <cell r="J759">
            <v>10.179428553173704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3.3143433205150372E-5</v>
          </cell>
          <cell r="J760">
            <v>0.46108909822738042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4.2442438810989997E-5</v>
          </cell>
          <cell r="J761">
            <v>0.349267817797904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4.2442438810989997E-5</v>
          </cell>
          <cell r="J762">
            <v>0.34931026023671502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2.960851133240548E-3</v>
          </cell>
          <cell r="G763">
            <v>4.7396202765267077E-3</v>
          </cell>
          <cell r="H763">
            <v>4.4880875081905695E-3</v>
          </cell>
          <cell r="I763">
            <v>5.0393492651907524E-3</v>
          </cell>
          <cell r="J763">
            <v>4.6992383347474031E-3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2.960851133240548E-3</v>
          </cell>
          <cell r="G764">
            <v>4.7396202765267077E-3</v>
          </cell>
          <cell r="H764">
            <v>4.4880875081905695E-3</v>
          </cell>
          <cell r="I764">
            <v>5.0393492651907516E-3</v>
          </cell>
          <cell r="J764">
            <v>4.6992383347474031E-3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3.7020995237130815E-3</v>
          </cell>
          <cell r="G765">
            <v>5.9252472841095898E-3</v>
          </cell>
          <cell r="H765">
            <v>5.6095679326266471E-3</v>
          </cell>
          <cell r="I765">
            <v>6.2983206945341538E-3</v>
          </cell>
          <cell r="J765">
            <v>5.8732404729114861E-3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3.7020995237130815E-3</v>
          </cell>
          <cell r="G766">
            <v>5.9252472841095898E-3</v>
          </cell>
          <cell r="H766">
            <v>5.6095679326266471E-3</v>
          </cell>
          <cell r="I766">
            <v>6.2983206945341538E-3</v>
          </cell>
          <cell r="J766">
            <v>5.8732404729114861E-3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4.3536505590367801E-4</v>
          </cell>
          <cell r="G767">
            <v>8.0766521675698195E-7</v>
          </cell>
          <cell r="H767">
            <v>4.6829256735638097E-7</v>
          </cell>
          <cell r="I767">
            <v>1.3448162942297499E-6</v>
          </cell>
          <cell r="J767">
            <v>6.3127769504111803E-7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4.3536505590367801E-4</v>
          </cell>
          <cell r="G768">
            <v>4.3617272112043498E-4</v>
          </cell>
          <cell r="H768">
            <v>4.3664101368779101E-4</v>
          </cell>
          <cell r="I768">
            <v>4.8584324581925001E-4</v>
          </cell>
          <cell r="J768">
            <v>4.8647452351429098E-4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2266.2744673564598</v>
          </cell>
          <cell r="F769">
            <v>2253.85911405669</v>
          </cell>
          <cell r="G769">
            <v>2319.1466995476999</v>
          </cell>
          <cell r="H769">
            <v>2366.5532957958999</v>
          </cell>
          <cell r="I769">
            <v>2460.1428838092302</v>
          </cell>
          <cell r="J769">
            <v>2552.91170536447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48.842122141303093</v>
          </cell>
          <cell r="F770">
            <v>48.574552707875391</v>
          </cell>
          <cell r="G770">
            <v>49.981618096141126</v>
          </cell>
          <cell r="H770">
            <v>51.003303858979258</v>
          </cell>
          <cell r="I770">
            <v>53.020320771750619</v>
          </cell>
          <cell r="J770">
            <v>55.019648822510185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24.421061070651543</v>
          </cell>
          <cell r="F771">
            <v>24.28727493595569</v>
          </cell>
          <cell r="G771">
            <v>24.990804952022593</v>
          </cell>
          <cell r="H771">
            <v>25.501651894352339</v>
          </cell>
          <cell r="I771">
            <v>26.510160385875302</v>
          </cell>
          <cell r="J771">
            <v>27.509824411255103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24.421061070651543</v>
          </cell>
          <cell r="F772">
            <v>24.28727493595569</v>
          </cell>
          <cell r="G772">
            <v>24.990804952022593</v>
          </cell>
          <cell r="H772">
            <v>25.501651894352339</v>
          </cell>
          <cell r="I772">
            <v>26.510160385875302</v>
          </cell>
          <cell r="J772">
            <v>27.509824411255103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452.78842715206275</v>
          </cell>
          <cell r="E4">
            <v>1997.0522801483448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33.428573131618485</v>
          </cell>
          <cell r="E5">
            <v>794.18996311057515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110.07164577845475</v>
          </cell>
          <cell r="E6">
            <v>248.57700933787584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309.28820824198959</v>
          </cell>
          <cell r="E7">
            <v>954.28530769989197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362.87590449611827</v>
          </cell>
          <cell r="E8">
            <v>1256.8800651599101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0.26449599728742762</v>
          </cell>
          <cell r="E9">
            <v>0.17383716015756298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404.78033975075141</v>
          </cell>
          <cell r="E10">
            <v>1199.2494352147369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220.39195320694617</v>
          </cell>
          <cell r="E11">
            <v>787.84983027140947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0.23882635326183832</v>
          </cell>
          <cell r="E12">
            <v>74.056330068726069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6.0527278259905658E-3</v>
          </cell>
          <cell r="E13">
            <v>2.2235753982106275E-2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297.19594109590548</v>
          </cell>
          <cell r="E14">
            <v>1430.4749118719421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0.21431265707685224</v>
          </cell>
          <cell r="E15">
            <v>176.92243215478501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9.5377483982425834E-2</v>
          </cell>
          <cell r="E16">
            <v>1031.8784233636054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1026.0866293836525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2.7294503645321627E-2</v>
          </cell>
          <cell r="E18">
            <v>69.614864104172241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2.1902225635885873E-2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3.4954697179421256E-3</v>
          </cell>
          <cell r="E20">
            <v>8.6076005507660724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6.5705537765287283E-3</v>
          </cell>
          <cell r="E21">
            <v>0.25755334510381006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4.5892539191535214E-2</v>
          </cell>
          <cell r="E22">
            <v>638.45375885505416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1286.1213057395357</v>
          </cell>
          <cell r="E23">
            <v>7700.5347900599036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833.33287858747633</v>
          </cell>
          <cell r="E24">
            <v>3461.5386153010259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833.33287858747633</v>
          </cell>
          <cell r="E25">
            <v>3461.5386153010259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E26">
            <v>2241.9438946105292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E27">
            <v>2241.9438946105292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0.98027485262796354</v>
          </cell>
          <cell r="F4">
            <v>0.69154457341747133</v>
          </cell>
          <cell r="G4">
            <v>1.3187677290059445E-4</v>
          </cell>
          <cell r="H4">
            <v>2.5093010628935737E-4</v>
          </cell>
        </row>
        <row r="5">
          <cell r="A5" t="str">
            <v>EXPELC_DE</v>
          </cell>
          <cell r="C5" t="str">
            <v>ELC_E-DE</v>
          </cell>
          <cell r="D5">
            <v>26.492980330511024</v>
          </cell>
          <cell r="E5">
            <v>5.3201580183992198E-4</v>
          </cell>
          <cell r="F5">
            <v>5.6648014142028722E-4</v>
          </cell>
          <cell r="G5">
            <v>4.9475731783191386E-4</v>
          </cell>
          <cell r="H5">
            <v>1.2986102068651157E-3</v>
          </cell>
          <cell r="I5">
            <v>3.9139119713352429E-4</v>
          </cell>
        </row>
        <row r="6">
          <cell r="A6" t="str">
            <v>IMPDSL</v>
          </cell>
          <cell r="C6" t="str">
            <v>DSL</v>
          </cell>
          <cell r="D6">
            <v>125.60764550917312</v>
          </cell>
          <cell r="E6">
            <v>112.6860434400897</v>
          </cell>
          <cell r="F6">
            <v>84.239935747384777</v>
          </cell>
          <cell r="G6">
            <v>48.032479228799374</v>
          </cell>
          <cell r="H6">
            <v>27.308575704455642</v>
          </cell>
        </row>
        <row r="7">
          <cell r="A7" t="str">
            <v>IMPELC_AT</v>
          </cell>
          <cell r="C7" t="str">
            <v>ELC_I-AT</v>
          </cell>
          <cell r="D7">
            <v>15.013806384834073</v>
          </cell>
          <cell r="E7">
            <v>0.81980034181553141</v>
          </cell>
          <cell r="F7">
            <v>0.5706625299460979</v>
          </cell>
          <cell r="G7">
            <v>0.14760693832691235</v>
          </cell>
          <cell r="H7">
            <v>0.23925317835188925</v>
          </cell>
          <cell r="I7">
            <v>5.1607138229248859</v>
          </cell>
        </row>
        <row r="8">
          <cell r="A8" t="str">
            <v>IMPELC_AT</v>
          </cell>
          <cell r="C8" t="str">
            <v>ELCS</v>
          </cell>
          <cell r="D8">
            <v>15.013806384834073</v>
          </cell>
          <cell r="E8">
            <v>0.81980034181553141</v>
          </cell>
          <cell r="F8">
            <v>0.5706625299460979</v>
          </cell>
          <cell r="G8">
            <v>0.14760693832691235</v>
          </cell>
          <cell r="H8">
            <v>0.23925317835188925</v>
          </cell>
          <cell r="I8">
            <v>5.1607138229248859</v>
          </cell>
        </row>
        <row r="9">
          <cell r="A9" t="str">
            <v>IMPELC_FR</v>
          </cell>
          <cell r="C9" t="str">
            <v>ELC_I-FR</v>
          </cell>
          <cell r="D9">
            <v>28.94862176921502</v>
          </cell>
          <cell r="E9">
            <v>25.883627035283023</v>
          </cell>
          <cell r="F9">
            <v>28.673913007730871</v>
          </cell>
          <cell r="G9">
            <v>14.280897820157316</v>
          </cell>
          <cell r="H9">
            <v>6.078817014736793</v>
          </cell>
          <cell r="I9">
            <v>6.3534575695887678</v>
          </cell>
        </row>
        <row r="10">
          <cell r="A10" t="str">
            <v>IMPELC_FR</v>
          </cell>
          <cell r="C10" t="str">
            <v>ELCS</v>
          </cell>
          <cell r="D10">
            <v>28.94862176921502</v>
          </cell>
          <cell r="E10">
            <v>25.883627035283023</v>
          </cell>
          <cell r="F10">
            <v>28.673913007730871</v>
          </cell>
          <cell r="G10">
            <v>14.280897820157316</v>
          </cell>
          <cell r="H10">
            <v>6.078817014736793</v>
          </cell>
          <cell r="I10">
            <v>6.3534575695887678</v>
          </cell>
        </row>
        <row r="11">
          <cell r="A11" t="str">
            <v>RNWHYDR1</v>
          </cell>
          <cell r="C11" t="str">
            <v>HYDR</v>
          </cell>
          <cell r="D11">
            <v>66.632401819639043</v>
          </cell>
          <cell r="E11">
            <v>55.764000216803012</v>
          </cell>
          <cell r="F11">
            <v>65.550182888372603</v>
          </cell>
          <cell r="G11">
            <v>64.46926773176429</v>
          </cell>
          <cell r="H11">
            <v>66.300719994511354</v>
          </cell>
          <cell r="I11">
            <v>66.134974085555257</v>
          </cell>
        </row>
        <row r="12">
          <cell r="A12" t="str">
            <v>EXPELC_IT</v>
          </cell>
          <cell r="C12" t="str">
            <v>ELC_E-IT</v>
          </cell>
          <cell r="D12">
            <v>71.694107838254823</v>
          </cell>
          <cell r="E12">
            <v>35.425142716258328</v>
          </cell>
          <cell r="F12">
            <v>53.578238188315062</v>
          </cell>
          <cell r="G12">
            <v>25.782750633142189</v>
          </cell>
          <cell r="H12">
            <v>16.794452887340437</v>
          </cell>
          <cell r="I12">
            <v>19.537649731217122</v>
          </cell>
        </row>
        <row r="13">
          <cell r="A13" t="str">
            <v>IMPLNG</v>
          </cell>
          <cell r="C13" t="str">
            <v>LBIO</v>
          </cell>
          <cell r="G13">
            <v>2.7722791537411907E-4</v>
          </cell>
          <cell r="H13">
            <v>8.6626236051775163E-4</v>
          </cell>
        </row>
        <row r="14">
          <cell r="A14" t="str">
            <v>IMPLNG</v>
          </cell>
          <cell r="C14" t="str">
            <v>LNGA</v>
          </cell>
          <cell r="G14">
            <v>1.8224250833797442E-3</v>
          </cell>
          <cell r="H14">
            <v>2.3884248297974574E-3</v>
          </cell>
        </row>
        <row r="15">
          <cell r="A15" t="str">
            <v>IMPURN1</v>
          </cell>
          <cell r="C15" t="str">
            <v>URN</v>
          </cell>
          <cell r="D15">
            <v>250.94820405058664</v>
          </cell>
          <cell r="E15">
            <v>253.29948466409297</v>
          </cell>
          <cell r="F15">
            <v>214.42483478236585</v>
          </cell>
          <cell r="G15">
            <v>209.58464186465312</v>
          </cell>
          <cell r="H15">
            <v>97.738500786076813</v>
          </cell>
        </row>
        <row r="16">
          <cell r="A16" t="str">
            <v>EXPELC_AT</v>
          </cell>
          <cell r="C16" t="str">
            <v>ELC_E-AT</v>
          </cell>
          <cell r="D16">
            <v>6.2295563048297646</v>
          </cell>
          <cell r="E16">
            <v>8.3047387312478805E-4</v>
          </cell>
          <cell r="F16">
            <v>9.2619791741118144E-4</v>
          </cell>
          <cell r="G16">
            <v>1.9468119262323126E-4</v>
          </cell>
          <cell r="H16">
            <v>1.8982870692855588E-4</v>
          </cell>
          <cell r="I16">
            <v>1.1458107527795156E-4</v>
          </cell>
        </row>
        <row r="17">
          <cell r="A17" t="str">
            <v>EXPELC_FR</v>
          </cell>
          <cell r="C17" t="str">
            <v>ELC_E-FR</v>
          </cell>
          <cell r="D17">
            <v>12.753359835725325</v>
          </cell>
          <cell r="E17">
            <v>6.3477257548650635E-4</v>
          </cell>
          <cell r="F17">
            <v>5.8738190422753887E-4</v>
          </cell>
          <cell r="G17">
            <v>2.4499124513244327E-4</v>
          </cell>
          <cell r="H17">
            <v>8.8005064445023163E-4</v>
          </cell>
          <cell r="I17">
            <v>4.8209209762435689E-4</v>
          </cell>
        </row>
        <row r="18">
          <cell r="A18" t="str">
            <v>RNWWND1</v>
          </cell>
          <cell r="C18" t="str">
            <v>WND</v>
          </cell>
          <cell r="D18">
            <v>0.52043380700897379</v>
          </cell>
          <cell r="E18">
            <v>0.54169693208700342</v>
          </cell>
          <cell r="F18">
            <v>0.50044118418508743</v>
          </cell>
          <cell r="G18">
            <v>2.5199778899612904</v>
          </cell>
          <cell r="H18">
            <v>2.5200035825101987</v>
          </cell>
          <cell r="I18">
            <v>2.5200032691410299</v>
          </cell>
        </row>
        <row r="19">
          <cell r="A19" t="str">
            <v>RNWWND2</v>
          </cell>
          <cell r="C19" t="str">
            <v>WND</v>
          </cell>
          <cell r="D19">
            <v>1.2505504000261995E-3</v>
          </cell>
          <cell r="E19">
            <v>1.2557952919592908E-3</v>
          </cell>
          <cell r="F19">
            <v>1.2873401825298681E-3</v>
          </cell>
          <cell r="G19">
            <v>1.3354789338936371E-3</v>
          </cell>
          <cell r="H19">
            <v>2.7463755474706226</v>
          </cell>
          <cell r="I19">
            <v>5.3999914916789375</v>
          </cell>
        </row>
        <row r="20">
          <cell r="A20" t="str">
            <v>RNWMNR1</v>
          </cell>
          <cell r="C20" t="str">
            <v>MNR</v>
          </cell>
          <cell r="D20">
            <v>3.7759366023270307</v>
          </cell>
          <cell r="E20">
            <v>4.7599704472234743</v>
          </cell>
          <cell r="F20">
            <v>5.1133357982245435</v>
          </cell>
          <cell r="G20">
            <v>5.7022328934184774</v>
          </cell>
          <cell r="H20">
            <v>7.1940754737557269</v>
          </cell>
          <cell r="I20">
            <v>8.9999997782582106</v>
          </cell>
        </row>
        <row r="21">
          <cell r="A21" t="str">
            <v>RNWWND3</v>
          </cell>
          <cell r="C21" t="str">
            <v>WND</v>
          </cell>
          <cell r="D21">
            <v>1.1106929376431881E-3</v>
          </cell>
          <cell r="E21">
            <v>1.1145832205392448E-3</v>
          </cell>
          <cell r="F21">
            <v>1.1423147001257165E-3</v>
          </cell>
          <cell r="G21">
            <v>1.1824430621402238E-3</v>
          </cell>
          <cell r="H21">
            <v>8.2069759432380832E-3</v>
          </cell>
          <cell r="I21">
            <v>2.8714882320838666</v>
          </cell>
        </row>
        <row r="22">
          <cell r="A22" t="str">
            <v>RNWMNR2</v>
          </cell>
          <cell r="C22" t="str">
            <v>MNR</v>
          </cell>
          <cell r="D22">
            <v>1.4211428063934316E-2</v>
          </cell>
          <cell r="E22">
            <v>3.9186293084850479</v>
          </cell>
          <cell r="F22">
            <v>5.1132938979403217</v>
          </cell>
          <cell r="G22">
            <v>5.7022300859113324</v>
          </cell>
          <cell r="H22">
            <v>7.1940654070923697</v>
          </cell>
          <cell r="I22">
            <v>8.999999415017605</v>
          </cell>
        </row>
        <row r="23">
          <cell r="A23" t="str">
            <v>RNWWND4</v>
          </cell>
          <cell r="C23" t="str">
            <v>WND</v>
          </cell>
          <cell r="D23">
            <v>6.5580477389760796E-4</v>
          </cell>
          <cell r="E23">
            <v>6.5673624814188659E-4</v>
          </cell>
          <cell r="F23">
            <v>6.703619737123233E-4</v>
          </cell>
          <cell r="G23">
            <v>6.8812551741796485E-4</v>
          </cell>
          <cell r="H23">
            <v>1.2885506004724967E-3</v>
          </cell>
          <cell r="I23">
            <v>1.6095184422461389E-3</v>
          </cell>
        </row>
        <row r="24">
          <cell r="A24" t="str">
            <v>RNWMNR3</v>
          </cell>
          <cell r="C24" t="str">
            <v>MNR</v>
          </cell>
          <cell r="D24">
            <v>7.9396525503302381E-3</v>
          </cell>
          <cell r="E24">
            <v>1.0606852128470392E-2</v>
          </cell>
          <cell r="F24">
            <v>1.9208762341345647E-2</v>
          </cell>
          <cell r="G24">
            <v>5.7022226015308357</v>
          </cell>
          <cell r="H24">
            <v>4.3567641764280003</v>
          </cell>
          <cell r="I24">
            <v>8.999998981591844</v>
          </cell>
        </row>
        <row r="25">
          <cell r="A25" t="str">
            <v>IMPLFO1</v>
          </cell>
          <cell r="C25" t="str">
            <v>LFO</v>
          </cell>
          <cell r="D25">
            <v>101.74428183143539</v>
          </cell>
          <cell r="E25">
            <v>90.977041688379956</v>
          </cell>
          <cell r="F25">
            <v>82.13422091081199</v>
          </cell>
          <cell r="G25">
            <v>48.712006273840743</v>
          </cell>
          <cell r="H25">
            <v>14.25692371166839</v>
          </cell>
        </row>
        <row r="26">
          <cell r="A26" t="str">
            <v>RNWWND5</v>
          </cell>
          <cell r="C26" t="str">
            <v>WND</v>
          </cell>
          <cell r="D26">
            <v>5.6851352015226803E-4</v>
          </cell>
          <cell r="E26">
            <v>5.6889234400229647E-4</v>
          </cell>
          <cell r="F26">
            <v>5.8082441288971956E-4</v>
          </cell>
          <cell r="G26">
            <v>5.9388067042571893E-4</v>
          </cell>
          <cell r="H26">
            <v>9.469145945787946E-4</v>
          </cell>
          <cell r="I26">
            <v>1.083406517978871E-3</v>
          </cell>
        </row>
        <row r="27">
          <cell r="A27" t="str">
            <v>IMPBNGA</v>
          </cell>
          <cell r="C27" t="str">
            <v>BIO</v>
          </cell>
          <cell r="E27">
            <v>3.0169875965005481E-4</v>
          </cell>
          <cell r="F27">
            <v>2.2466019495471765E-3</v>
          </cell>
          <cell r="G27">
            <v>0.1916515695517452</v>
          </cell>
          <cell r="H27">
            <v>1.689148111707792</v>
          </cell>
          <cell r="I27">
            <v>8.7985167604720093E-5</v>
          </cell>
        </row>
        <row r="28">
          <cell r="A28" t="str">
            <v>RNWGEO1</v>
          </cell>
          <cell r="C28" t="str">
            <v>GEO</v>
          </cell>
          <cell r="H28">
            <v>8.533399642854593E-2</v>
          </cell>
          <cell r="I28">
            <v>8.3631173442632878E-2</v>
          </cell>
        </row>
        <row r="29">
          <cell r="A29" t="str">
            <v>RNWGEO2</v>
          </cell>
          <cell r="C29" t="str">
            <v>GEO</v>
          </cell>
          <cell r="H29">
            <v>9.4620594495454999E-3</v>
          </cell>
          <cell r="I29">
            <v>1.0983941141531473E-2</v>
          </cell>
        </row>
        <row r="30">
          <cell r="A30" t="str">
            <v>RNWGEO3</v>
          </cell>
          <cell r="C30" t="str">
            <v>GEO</v>
          </cell>
          <cell r="H30">
            <v>3.2759013419902828E-3</v>
          </cell>
          <cell r="I30">
            <v>4.2186961162163873E-3</v>
          </cell>
        </row>
        <row r="31">
          <cell r="A31" t="str">
            <v>RNWGEO4</v>
          </cell>
          <cell r="C31" t="str">
            <v>GEO</v>
          </cell>
          <cell r="H31">
            <v>2.2794874667248837E-3</v>
          </cell>
          <cell r="I31">
            <v>2.4781619691170626E-3</v>
          </cell>
        </row>
        <row r="32">
          <cell r="A32" t="str">
            <v>RNWGEO5</v>
          </cell>
          <cell r="C32" t="str">
            <v>GEO</v>
          </cell>
          <cell r="H32">
            <v>1.8234547668119045E-3</v>
          </cell>
          <cell r="I32">
            <v>1.8651395422537537E-3</v>
          </cell>
        </row>
        <row r="33">
          <cell r="A33" t="str">
            <v>IMPGSL</v>
          </cell>
          <cell r="C33" t="str">
            <v>GSL</v>
          </cell>
          <cell r="D33">
            <v>69.652456970431075</v>
          </cell>
          <cell r="E33">
            <v>77.267260238809328</v>
          </cell>
          <cell r="F33">
            <v>65.984179563219811</v>
          </cell>
          <cell r="G33">
            <v>36.857679472526151</v>
          </cell>
          <cell r="H33">
            <v>8.5489445984621799</v>
          </cell>
        </row>
        <row r="34">
          <cell r="A34" t="str">
            <v>RNWWOD1</v>
          </cell>
          <cell r="C34" t="str">
            <v>WOD</v>
          </cell>
          <cell r="D34">
            <v>10.182341426473908</v>
          </cell>
          <cell r="E34">
            <v>11.152950234012655</v>
          </cell>
          <cell r="F34">
            <v>12.608866003456438</v>
          </cell>
          <cell r="G34">
            <v>15.035394729556266</v>
          </cell>
          <cell r="H34">
            <v>17.461921731319521</v>
          </cell>
          <cell r="I34">
            <v>17.461922430630267</v>
          </cell>
        </row>
        <row r="35">
          <cell r="A35" t="str">
            <v>RNWWOD2</v>
          </cell>
          <cell r="C35" t="str">
            <v>WOD</v>
          </cell>
          <cell r="D35">
            <v>7.4592182845033399</v>
          </cell>
          <cell r="E35">
            <v>8.0030398551700834</v>
          </cell>
          <cell r="F35">
            <v>8.8187747700669412</v>
          </cell>
          <cell r="G35">
            <v>10.178335005274397</v>
          </cell>
          <cell r="H35">
            <v>11.537894467468691</v>
          </cell>
          <cell r="I35">
            <v>7.6690269319112714</v>
          </cell>
        </row>
        <row r="36">
          <cell r="A36" t="str">
            <v>RNWWOD3</v>
          </cell>
          <cell r="C36" t="str">
            <v>WOD</v>
          </cell>
          <cell r="D36">
            <v>2.6225302299153821</v>
          </cell>
          <cell r="E36">
            <v>3.2650033834973482</v>
          </cell>
          <cell r="F36">
            <v>4.2287164095724581</v>
          </cell>
          <cell r="G36">
            <v>5.8349082073248031</v>
          </cell>
          <cell r="H36">
            <v>4.2596696714774325</v>
          </cell>
          <cell r="I36">
            <v>4.8053859611930241</v>
          </cell>
        </row>
        <row r="37">
          <cell r="A37" t="str">
            <v>RNWWOD4</v>
          </cell>
          <cell r="C37" t="str">
            <v>WOD</v>
          </cell>
          <cell r="D37">
            <v>16.967545778134404</v>
          </cell>
          <cell r="E37">
            <v>16.921789720698317</v>
          </cell>
          <cell r="F37">
            <v>16.853155358430783</v>
          </cell>
          <cell r="G37">
            <v>16.738776441867611</v>
          </cell>
          <cell r="H37">
            <v>21.182956238770988</v>
          </cell>
          <cell r="I37">
            <v>25.2220302264381</v>
          </cell>
        </row>
        <row r="38">
          <cell r="A38" t="str">
            <v>RNWWOD5</v>
          </cell>
          <cell r="C38" t="str">
            <v>WOD</v>
          </cell>
          <cell r="D38">
            <v>7.5383718072712496</v>
          </cell>
          <cell r="E38">
            <v>7.9181103305188509</v>
          </cell>
          <cell r="F38">
            <v>5.4787280488853236</v>
          </cell>
          <cell r="G38">
            <v>0.20303282239155784</v>
          </cell>
          <cell r="H38">
            <v>3.0592920060419013E-3</v>
          </cell>
          <cell r="I38">
            <v>16.133218032403327</v>
          </cell>
        </row>
        <row r="39">
          <cell r="A39" t="str">
            <v>RNNWWST1</v>
          </cell>
          <cell r="C39" t="str">
            <v>WSTNREN</v>
          </cell>
          <cell r="D39">
            <v>35.931065077020421</v>
          </cell>
          <cell r="E39">
            <v>36.238128729118394</v>
          </cell>
          <cell r="F39">
            <v>36.032197220195073</v>
          </cell>
          <cell r="G39">
            <v>37.198082056220642</v>
          </cell>
          <cell r="H39">
            <v>37.258340665740569</v>
          </cell>
          <cell r="I39">
            <v>39.22161355911053</v>
          </cell>
        </row>
        <row r="40">
          <cell r="A40" t="str">
            <v>RNWSOL1</v>
          </cell>
          <cell r="C40" t="str">
            <v>SOL</v>
          </cell>
          <cell r="D40">
            <v>12.556459023715597</v>
          </cell>
          <cell r="E40">
            <v>16.523444066868979</v>
          </cell>
          <cell r="F40">
            <v>30.353641059401095</v>
          </cell>
          <cell r="G40">
            <v>71.329667733820216</v>
          </cell>
          <cell r="H40">
            <v>116.86620994328116</v>
          </cell>
          <cell r="I40">
            <v>180.24493800989066</v>
          </cell>
        </row>
        <row r="41">
          <cell r="A41" t="str">
            <v>IMPHFO1</v>
          </cell>
          <cell r="C41" t="str">
            <v>HFO</v>
          </cell>
          <cell r="D41">
            <v>2.7763701271697321</v>
          </cell>
          <cell r="E41">
            <v>1.3140812646362577E-3</v>
          </cell>
          <cell r="F41">
            <v>1.5390436187185423E-3</v>
          </cell>
          <cell r="G41">
            <v>1.3194029946510132E-2</v>
          </cell>
          <cell r="H41">
            <v>1.6225787499077309E-3</v>
          </cell>
        </row>
        <row r="42">
          <cell r="A42" t="str">
            <v>RNWHYDD1</v>
          </cell>
          <cell r="C42" t="str">
            <v>HYDD</v>
          </cell>
          <cell r="D42">
            <v>66.745680037436841</v>
          </cell>
          <cell r="E42">
            <v>49.798798693986065</v>
          </cell>
          <cell r="F42">
            <v>68.535157590789026</v>
          </cell>
          <cell r="G42">
            <v>70.230004548477481</v>
          </cell>
          <cell r="H42">
            <v>70.772721031926423</v>
          </cell>
          <cell r="I42">
            <v>74.336055534228137</v>
          </cell>
        </row>
        <row r="43">
          <cell r="A43" t="str">
            <v>IMPKER</v>
          </cell>
          <cell r="C43" t="str">
            <v>KER</v>
          </cell>
          <cell r="D43">
            <v>1.1093853663791744</v>
          </cell>
          <cell r="E43">
            <v>1.4052148835537817</v>
          </cell>
          <cell r="F43">
            <v>1.8489591593156731</v>
          </cell>
          <cell r="G43">
            <v>2.0926394080558417</v>
          </cell>
          <cell r="H43">
            <v>1.6026745328727288</v>
          </cell>
        </row>
        <row r="44">
          <cell r="A44" t="str">
            <v>IMPBDS</v>
          </cell>
          <cell r="C44" t="str">
            <v>BDS</v>
          </cell>
          <cell r="D44">
            <v>3.0152277362664539</v>
          </cell>
          <cell r="E44">
            <v>1.6715014777125807</v>
          </cell>
          <cell r="F44">
            <v>2.323748366988144</v>
          </cell>
          <cell r="G44">
            <v>2.973398179807814</v>
          </cell>
          <cell r="H44">
            <v>3.2439868902859943</v>
          </cell>
          <cell r="I44">
            <v>5.6459440231617704</v>
          </cell>
        </row>
        <row r="45">
          <cell r="A45" t="str">
            <v>IMPCOA1</v>
          </cell>
          <cell r="C45" t="str">
            <v>COA</v>
          </cell>
          <cell r="D45">
            <v>3.6600037300941612</v>
          </cell>
          <cell r="E45">
            <v>3.5647168884982219</v>
          </cell>
          <cell r="F45">
            <v>2.9106023964416187E-2</v>
          </cell>
          <cell r="G45">
            <v>3.0221603972341655</v>
          </cell>
          <cell r="H45">
            <v>1.3360185557488916E-3</v>
          </cell>
        </row>
        <row r="46">
          <cell r="A46" t="str">
            <v>IMPETH</v>
          </cell>
          <cell r="C46" t="str">
            <v>ETH</v>
          </cell>
          <cell r="D46">
            <v>3.1308581777543649</v>
          </cell>
          <cell r="E46">
            <v>4.4742824106926893</v>
          </cell>
          <cell r="F46">
            <v>3.8200905038220903</v>
          </cell>
          <cell r="G46">
            <v>2.9810357077382474</v>
          </cell>
          <cell r="H46">
            <v>1.2129504609279071</v>
          </cell>
          <cell r="I46">
            <v>0.50005329010641153</v>
          </cell>
        </row>
        <row r="47">
          <cell r="A47" t="str">
            <v>IMPELC_DE</v>
          </cell>
          <cell r="C47" t="str">
            <v>ELC_I-DE</v>
          </cell>
          <cell r="D47">
            <v>46.398476168316854</v>
          </cell>
          <cell r="E47">
            <v>23.570237274167592</v>
          </cell>
          <cell r="F47">
            <v>19.886815906386978</v>
          </cell>
          <cell r="G47">
            <v>9.3549973988601458</v>
          </cell>
          <cell r="H47">
            <v>8.4785677161720372</v>
          </cell>
          <cell r="I47">
            <v>6.024327301344881</v>
          </cell>
        </row>
        <row r="48">
          <cell r="A48" t="str">
            <v>IMPELC_DE</v>
          </cell>
          <cell r="C48" t="str">
            <v>ELCS</v>
          </cell>
          <cell r="D48">
            <v>46.398476168316854</v>
          </cell>
          <cell r="E48">
            <v>23.570237274167592</v>
          </cell>
          <cell r="F48">
            <v>19.886815906386978</v>
          </cell>
          <cell r="G48">
            <v>9.3549973988601458</v>
          </cell>
          <cell r="H48">
            <v>8.4785677161720372</v>
          </cell>
          <cell r="I48">
            <v>6.024327301344881</v>
          </cell>
        </row>
        <row r="49">
          <cell r="A49" t="str">
            <v>RNWWST1</v>
          </cell>
          <cell r="C49" t="str">
            <v>WSTREN</v>
          </cell>
          <cell r="D49">
            <v>34.100433085069703</v>
          </cell>
          <cell r="E49">
            <v>34.100436983355969</v>
          </cell>
          <cell r="F49">
            <v>34.100440290358591</v>
          </cell>
          <cell r="G49">
            <v>37.402070120829741</v>
          </cell>
          <cell r="H49">
            <v>40.967193851974571</v>
          </cell>
          <cell r="I49">
            <v>44.437064282267286</v>
          </cell>
        </row>
        <row r="50">
          <cell r="A50" t="str">
            <v>IMPNGA1</v>
          </cell>
          <cell r="C50" t="str">
            <v>NGA</v>
          </cell>
          <cell r="D50">
            <v>117.28452952583235</v>
          </cell>
          <cell r="E50">
            <v>106.71999948625074</v>
          </cell>
          <cell r="F50">
            <v>102.08219735570731</v>
          </cell>
          <cell r="G50">
            <v>62.774444031868505</v>
          </cell>
          <cell r="H50">
            <v>38.067455452993144</v>
          </cell>
        </row>
        <row r="51">
          <cell r="A51" t="str">
            <v>IMPELC_IT</v>
          </cell>
          <cell r="C51" t="str">
            <v>ELC_I-IT</v>
          </cell>
          <cell r="D51">
            <v>6.7990983711507553</v>
          </cell>
          <cell r="E51">
            <v>5.4311733239977217E-4</v>
          </cell>
          <cell r="F51">
            <v>4.6912429093067822E-4</v>
          </cell>
          <cell r="G51">
            <v>1.829361451253909E-4</v>
          </cell>
          <cell r="H51">
            <v>1.8621506329765045E-4</v>
          </cell>
          <cell r="I51">
            <v>1.3873893121107785E-4</v>
          </cell>
        </row>
        <row r="52">
          <cell r="A52" t="str">
            <v>IMPELC_IT</v>
          </cell>
          <cell r="C52" t="str">
            <v>ELCS</v>
          </cell>
          <cell r="D52">
            <v>6.7990983711507553</v>
          </cell>
          <cell r="E52">
            <v>5.4311733239977217E-4</v>
          </cell>
          <cell r="F52">
            <v>4.6912429093067822E-4</v>
          </cell>
          <cell r="G52">
            <v>1.829361451253909E-4</v>
          </cell>
          <cell r="H52">
            <v>1.8621506329765045E-4</v>
          </cell>
          <cell r="I52">
            <v>1.3873893121107785E-4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3.2682098027522617</v>
          </cell>
          <cell r="E4">
            <v>3.8319846410433693</v>
          </cell>
          <cell r="F4">
            <v>0.64592706181768977</v>
          </cell>
          <cell r="G4">
            <v>0.96468478097773214</v>
          </cell>
          <cell r="H4">
            <v>1.1764258164407506</v>
          </cell>
          <cell r="I4">
            <v>1.04900652778113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3.2682098027522617</v>
          </cell>
          <cell r="E5">
            <v>3.8319846410433693</v>
          </cell>
          <cell r="F5">
            <v>0.64592706181768977</v>
          </cell>
          <cell r="G5">
            <v>0.96468478097773214</v>
          </cell>
          <cell r="H5">
            <v>1.1764258164407506</v>
          </cell>
          <cell r="I5">
            <v>1.04900652778113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1.4143727168304663E-5</v>
          </cell>
          <cell r="F6">
            <v>5.4224999749593408E-5</v>
          </cell>
          <cell r="G6">
            <v>1.8879591808944058E-4</v>
          </cell>
          <cell r="H6">
            <v>1.4087134602496195E-4</v>
          </cell>
          <cell r="I6">
            <v>1.4884806563417451E-4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4.0942988030666925E-7</v>
          </cell>
          <cell r="F7">
            <v>4.8420019815504225E-5</v>
          </cell>
          <cell r="G7">
            <v>1.868611387729497E-4</v>
          </cell>
          <cell r="H7">
            <v>1.4068778244872814E-4</v>
          </cell>
          <cell r="I7">
            <v>1.4864701713465558E-4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1.6351685494913601E-4</v>
          </cell>
          <cell r="E8">
            <v>1.52538261165218E-4</v>
          </cell>
          <cell r="F8">
            <v>5.2750855705454203E-5</v>
          </cell>
          <cell r="G8">
            <v>4.8030675491936302E-7</v>
          </cell>
          <cell r="H8">
            <v>2.9774471806611801E-5</v>
          </cell>
          <cell r="I8">
            <v>2.4498270054117901E-5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1.6351685494913601E-4</v>
          </cell>
          <cell r="E9">
            <v>3.1605511611435498E-4</v>
          </cell>
          <cell r="F9">
            <v>3.6880597181980902E-4</v>
          </cell>
          <cell r="G9">
            <v>3.6928627857472798E-4</v>
          </cell>
          <cell r="H9">
            <v>5.6281162647125401E-5</v>
          </cell>
          <cell r="I9">
            <v>5.3227850550434998E-5</v>
          </cell>
          <cell r="J9"/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D10"/>
          <cell r="E10">
            <v>1.9705522365601399E-3</v>
          </cell>
          <cell r="F10">
            <v>4.2643914734625703</v>
          </cell>
          <cell r="G10">
            <v>6.7666703577237097</v>
          </cell>
          <cell r="H10">
            <v>4.5806559794673696</v>
          </cell>
          <cell r="I10"/>
          <cell r="J10"/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D11"/>
          <cell r="E11">
            <v>2.3952325353936521E-5</v>
          </cell>
          <cell r="F11">
            <v>5.4920636762003039E-2</v>
          </cell>
          <cell r="G11">
            <v>8.7147215990234492E-2</v>
          </cell>
          <cell r="H11">
            <v>5.8993773143382333E-2</v>
          </cell>
          <cell r="I11"/>
          <cell r="J11"/>
          <cell r="K11"/>
          <cell r="L11"/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D12"/>
          <cell r="E12">
            <v>2.6737479464859361E-5</v>
          </cell>
          <cell r="F12">
            <v>5.7861485392979223E-2</v>
          </cell>
          <cell r="G12">
            <v>9.1813709060023035E-2</v>
          </cell>
          <cell r="H12">
            <v>6.2152726994129867E-2</v>
          </cell>
          <cell r="I12"/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D13"/>
          <cell r="E13">
            <v>3.0500040697018298E-5</v>
          </cell>
          <cell r="F13">
            <v>2.5882143308502401E-2</v>
          </cell>
          <cell r="G13"/>
          <cell r="H13"/>
          <cell r="I13"/>
          <cell r="J13"/>
          <cell r="K13"/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D14"/>
          <cell r="E14">
            <v>3.0500040697018298E-5</v>
          </cell>
          <cell r="F14">
            <v>2.5906342281590777E-2</v>
          </cell>
          <cell r="G14">
            <v>2.5900324741708215E-2</v>
          </cell>
          <cell r="H14">
            <v>4.5842460846608887E-3</v>
          </cell>
          <cell r="I14"/>
          <cell r="J14"/>
          <cell r="K14"/>
          <cell r="L14"/>
          <cell r="M14"/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D15"/>
          <cell r="E15"/>
          <cell r="F15">
            <v>4.9330797895861798</v>
          </cell>
          <cell r="G15">
            <v>17.1713294095054</v>
          </cell>
          <cell r="H15">
            <v>27.8506320316502</v>
          </cell>
          <cell r="I15">
            <v>31.530762511178501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D16"/>
          <cell r="E16"/>
          <cell r="F16">
            <v>0.17124328323123805</v>
          </cell>
          <cell r="G16">
            <v>0.61200699370208567</v>
          </cell>
          <cell r="H16">
            <v>1.0132708695591861</v>
          </cell>
          <cell r="I16">
            <v>1.2026669470852522</v>
          </cell>
          <cell r="J16"/>
          <cell r="K16"/>
          <cell r="L16"/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D17"/>
          <cell r="E17"/>
          <cell r="F17">
            <v>8.7465953716066927E-2</v>
          </cell>
          <cell r="G17">
            <v>0.30445619520399669</v>
          </cell>
          <cell r="H17">
            <v>0.49380553247606723</v>
          </cell>
          <cell r="I17">
            <v>0.55905607289323711</v>
          </cell>
          <cell r="J17"/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D18"/>
          <cell r="E18"/>
          <cell r="F18">
            <v>0.17124328323123805</v>
          </cell>
          <cell r="G18">
            <v>0.61200699370208567</v>
          </cell>
          <cell r="H18">
            <v>1.0132708695591861</v>
          </cell>
          <cell r="I18">
            <v>1.2026669470852522</v>
          </cell>
          <cell r="J18"/>
          <cell r="K18"/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D19"/>
          <cell r="E19">
            <v>5.8671429278366196E-7</v>
          </cell>
          <cell r="F19">
            <v>1.25195309510884E-2</v>
          </cell>
          <cell r="G19">
            <v>3.2084287530712401E-2</v>
          </cell>
          <cell r="H19">
            <v>3.3302860129449302E-2</v>
          </cell>
          <cell r="I19">
            <v>5.6761747826175803E-2</v>
          </cell>
          <cell r="J19"/>
          <cell r="K19"/>
          <cell r="L19"/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D20"/>
          <cell r="E20">
            <v>5.8671429278366196E-7</v>
          </cell>
          <cell r="F20">
            <v>1.2520042931018195E-2</v>
          </cell>
          <cell r="G20">
            <v>4.4604270735212476E-2</v>
          </cell>
          <cell r="H20">
            <v>7.3869920160744701E-2</v>
          </cell>
          <cell r="I20">
            <v>8.7883300104627554E-2</v>
          </cell>
          <cell r="J20"/>
          <cell r="K20"/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0.46151876924203794</v>
          </cell>
          <cell r="E21">
            <v>0.544575170185297</v>
          </cell>
          <cell r="F21">
            <v>0.54618344961655574</v>
          </cell>
          <cell r="G21">
            <v>0.54619875441867294</v>
          </cell>
          <cell r="H21">
            <v>0.54621864418822974</v>
          </cell>
          <cell r="I21">
            <v>0.54624041584368543</v>
          </cell>
          <cell r="J21"/>
          <cell r="K21"/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0.46151876924203794</v>
          </cell>
          <cell r="E22">
            <v>0.544575170185297</v>
          </cell>
          <cell r="F22">
            <v>0.54618344961655574</v>
          </cell>
          <cell r="G22">
            <v>0.54619875441867294</v>
          </cell>
          <cell r="H22">
            <v>0.54621864418822974</v>
          </cell>
          <cell r="I22">
            <v>0.54624041584368543</v>
          </cell>
          <cell r="J22"/>
          <cell r="K22"/>
          <cell r="L22"/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0.62578816168411933</v>
          </cell>
          <cell r="E23">
            <v>0.73757359393042432</v>
          </cell>
          <cell r="F23">
            <v>0.73850156567872249</v>
          </cell>
          <cell r="G23">
            <v>0.73644775876674984</v>
          </cell>
          <cell r="H23">
            <v>0.73236019332500135</v>
          </cell>
          <cell r="I23">
            <v>0.72832055445824673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D24"/>
          <cell r="E24">
            <v>8.1524509734871107E-3</v>
          </cell>
          <cell r="F24">
            <v>3.8161411692606102E-5</v>
          </cell>
          <cell r="G24">
            <v>1.7917977584722599E-5</v>
          </cell>
          <cell r="H24">
            <v>1.4207455358911899E-2</v>
          </cell>
          <cell r="I24">
            <v>2.05000804039569E-2</v>
          </cell>
          <cell r="J24"/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3.8011848725880842E-2</v>
          </cell>
          <cell r="F25">
            <v>3.7853484782056523E-2</v>
          </cell>
          <cell r="G25">
            <v>3.7811002037872722E-2</v>
          </cell>
          <cell r="H25">
            <v>4.4959721747981247E-2</v>
          </cell>
          <cell r="I25">
            <v>4.3798331554985144E-2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D26"/>
          <cell r="E26"/>
          <cell r="F26"/>
          <cell r="G26">
            <v>3.2937803059249638E-4</v>
          </cell>
          <cell r="H26">
            <v>5.8242921163904524E-4</v>
          </cell>
          <cell r="I26">
            <v>2.214935577223074E-4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D27"/>
          <cell r="E27"/>
          <cell r="F27"/>
          <cell r="G27">
            <v>3.2961703872246597E-4</v>
          </cell>
          <cell r="H27">
            <v>5.8266135437807587E-4</v>
          </cell>
          <cell r="I27">
            <v>2.2151592247820652E-4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D28"/>
          <cell r="E28"/>
          <cell r="F28"/>
          <cell r="G28">
            <v>6.5629231023845943E-4</v>
          </cell>
          <cell r="H28">
            <v>1.1612195828003857E-3</v>
          </cell>
          <cell r="I28">
            <v>4.409986616394159E-4</v>
          </cell>
          <cell r="J28"/>
          <cell r="K28"/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0.5204714736492172</v>
          </cell>
          <cell r="E29">
            <v>0.59724066183670388</v>
          </cell>
          <cell r="F29">
            <v>1.2228346807521642</v>
          </cell>
          <cell r="G29">
            <v>1.3158077490409403</v>
          </cell>
          <cell r="H29">
            <v>1.2664006128250187</v>
          </cell>
          <cell r="I29">
            <v>1.081273906778889</v>
          </cell>
          <cell r="J29"/>
          <cell r="K29"/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1.0409429472984342</v>
          </cell>
          <cell r="E30">
            <v>1.1944813236734073</v>
          </cell>
          <cell r="F30">
            <v>2.7927873232375795</v>
          </cell>
          <cell r="G30">
            <v>2.9041954619086385</v>
          </cell>
          <cell r="H30">
            <v>2.6609957623456983</v>
          </cell>
          <cell r="I30">
            <v>2.1566942229621073</v>
          </cell>
          <cell r="J30"/>
          <cell r="K30"/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D31"/>
          <cell r="E31">
            <v>5.3818011547960599E-3</v>
          </cell>
          <cell r="F31">
            <v>4.0315899010138802E-2</v>
          </cell>
          <cell r="G31">
            <v>9.93729871585128E-3</v>
          </cell>
          <cell r="H31">
            <v>5.1381795379208402E-2</v>
          </cell>
          <cell r="I31">
            <v>3.15417365101529E-2</v>
          </cell>
          <cell r="J31"/>
          <cell r="K31"/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4.07036415512739E-2</v>
          </cell>
          <cell r="F32">
            <v>8.1019266985575017E-2</v>
          </cell>
          <cell r="G32">
            <v>9.0956276367873873E-2</v>
          </cell>
          <cell r="H32">
            <v>9.095089663006746E-2</v>
          </cell>
          <cell r="I32">
            <v>7.9677403656749607E-2</v>
          </cell>
          <cell r="J32"/>
          <cell r="K32"/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4.3871553026244108</v>
          </cell>
          <cell r="E33">
            <v>5.0342711095841919</v>
          </cell>
          <cell r="F33">
            <v>5.3155736455344265</v>
          </cell>
          <cell r="G33">
            <v>4.5407057252396115</v>
          </cell>
          <cell r="H33">
            <v>2.8637340866234067</v>
          </cell>
          <cell r="I33">
            <v>1.5881190828304066</v>
          </cell>
          <cell r="J33"/>
          <cell r="K33"/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6.0932712536450104</v>
          </cell>
          <cell r="E34">
            <v>6.9920432077558168</v>
          </cell>
          <cell r="F34">
            <v>7.4447532152387703</v>
          </cell>
          <cell r="G34">
            <v>6.2661298008923589</v>
          </cell>
          <cell r="H34">
            <v>3.8955293084959863</v>
          </cell>
          <cell r="I34">
            <v>2.0889302196949444</v>
          </cell>
          <cell r="J34"/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D35"/>
          <cell r="E35">
            <v>5.2320287072191198E-2</v>
          </cell>
          <cell r="F35">
            <v>2.27005385886308E-2</v>
          </cell>
          <cell r="G35">
            <v>2.42268511141385E-7</v>
          </cell>
          <cell r="H35">
            <v>7.3957601268375806E-2</v>
          </cell>
          <cell r="I35">
            <v>9.8140466053787505E-3</v>
          </cell>
          <cell r="J35"/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0.40674825384239</v>
          </cell>
          <cell r="F36">
            <v>0.4294486951673509</v>
          </cell>
          <cell r="G36">
            <v>0.42944613856259234</v>
          </cell>
          <cell r="H36">
            <v>0.23177410269738083</v>
          </cell>
          <cell r="I36">
            <v>0.12854224885753515</v>
          </cell>
          <cell r="J36"/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D37"/>
          <cell r="E37"/>
          <cell r="F37"/>
          <cell r="G37"/>
          <cell r="H37">
            <v>8.2081351758901949E-3</v>
          </cell>
          <cell r="I37">
            <v>5.2942147757403342E-3</v>
          </cell>
          <cell r="J37"/>
          <cell r="K37"/>
          <cell r="L37"/>
          <cell r="M37"/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D38"/>
          <cell r="E38"/>
          <cell r="F38"/>
          <cell r="G38"/>
          <cell r="H38">
            <v>8.2910456322123141E-3</v>
          </cell>
          <cell r="I38">
            <v>5.3476916926670061E-3</v>
          </cell>
          <cell r="J38"/>
          <cell r="K38"/>
          <cell r="L38"/>
          <cell r="M38"/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D39"/>
          <cell r="E39"/>
          <cell r="F39"/>
          <cell r="G39">
            <v>8.03544857371225E-7</v>
          </cell>
          <cell r="H39">
            <v>1.07728964630017E-3</v>
          </cell>
          <cell r="I39">
            <v>1.8501533704820899E-5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D40"/>
          <cell r="E40"/>
          <cell r="F40"/>
          <cell r="G40">
            <v>8.03544857371225E-7</v>
          </cell>
          <cell r="H40">
            <v>1.0805419997110099E-3</v>
          </cell>
          <cell r="I40">
            <v>1.09904353341583E-3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6.1735457710597021</v>
          </cell>
          <cell r="E41">
            <v>4.7454747500016268</v>
          </cell>
          <cell r="F41">
            <v>7.3166302620376023</v>
          </cell>
          <cell r="G41">
            <v>7.7007279064040768</v>
          </cell>
          <cell r="H41">
            <v>6.469788042737048</v>
          </cell>
          <cell r="I41">
            <v>4.9038844022405721</v>
          </cell>
          <cell r="J41"/>
          <cell r="K41"/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8.5743691264718152</v>
          </cell>
          <cell r="E42">
            <v>6.5909371527800351</v>
          </cell>
          <cell r="F42">
            <v>10.798952770920419</v>
          </cell>
          <cell r="G42">
            <v>11.325644839462376</v>
          </cell>
          <cell r="H42">
            <v>9.4740611809219661</v>
          </cell>
          <cell r="I42">
            <v>7.0144728816087696</v>
          </cell>
          <cell r="J42"/>
          <cell r="K42"/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7.2348459595860902E-6</v>
          </cell>
          <cell r="E43">
            <v>5.3022493917357201E-6</v>
          </cell>
          <cell r="F43">
            <v>8.72683638541841E-2</v>
          </cell>
          <cell r="G43">
            <v>3.0841720270579898E-2</v>
          </cell>
          <cell r="H43">
            <v>0.18017162487988</v>
          </cell>
          <cell r="I43">
            <v>0.16083917075194301</v>
          </cell>
          <cell r="J43"/>
          <cell r="K43"/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0.4784275126630716</v>
          </cell>
          <cell r="E44">
            <v>0.47843239910791907</v>
          </cell>
          <cell r="F44">
            <v>0.56570008348928957</v>
          </cell>
          <cell r="G44">
            <v>0.59654070747558008</v>
          </cell>
          <cell r="H44">
            <v>0.52414458792251817</v>
          </cell>
          <cell r="I44">
            <v>0.42164616984087994</v>
          </cell>
          <cell r="J44"/>
          <cell r="K44"/>
          <cell r="L44"/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5.1850610827838395</v>
          </cell>
          <cell r="E45">
            <v>5.5675610746181707</v>
          </cell>
          <cell r="F45">
            <v>5.6486972600020611</v>
          </cell>
          <cell r="G45">
            <v>7.2478647296218481</v>
          </cell>
          <cell r="H45">
            <v>7.635861042309811</v>
          </cell>
          <cell r="I45">
            <v>13.700797984785204</v>
          </cell>
          <cell r="J45"/>
          <cell r="K45"/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5.1850610827838395</v>
          </cell>
          <cell r="E46">
            <v>5.5675610746181707</v>
          </cell>
          <cell r="F46">
            <v>5.6486972600020611</v>
          </cell>
          <cell r="G46">
            <v>7.2478647296218481</v>
          </cell>
          <cell r="H46">
            <v>7.635861042309811</v>
          </cell>
          <cell r="I46">
            <v>13.700797984785204</v>
          </cell>
          <cell r="J46"/>
          <cell r="K46"/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5.6086470727925253</v>
          </cell>
          <cell r="E47">
            <v>6.0095232654123327</v>
          </cell>
          <cell r="F47">
            <v>6.077615774962263</v>
          </cell>
          <cell r="G47">
            <v>7.7568973814293836</v>
          </cell>
          <cell r="H47">
            <v>8.0864606234970164</v>
          </cell>
          <cell r="I47">
            <v>14.421892615563381</v>
          </cell>
          <cell r="J47"/>
          <cell r="K47"/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D48"/>
          <cell r="E48">
            <v>3.2077281609809299E-2</v>
          </cell>
          <cell r="F48">
            <v>5.7543016348542801E-2</v>
          </cell>
          <cell r="G48">
            <v>0.14497973147659099</v>
          </cell>
          <cell r="H48">
            <v>0.34042483611913199</v>
          </cell>
          <cell r="I48">
            <v>0.97354410464172703</v>
          </cell>
          <cell r="J48"/>
          <cell r="K48"/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0.32301024650737725</v>
          </cell>
          <cell r="F49">
            <v>0.35149904572759016</v>
          </cell>
          <cell r="G49">
            <v>0.47070813152407309</v>
          </cell>
          <cell r="H49">
            <v>0.58255536868206048</v>
          </cell>
          <cell r="I49">
            <v>1.2716896592666862</v>
          </cell>
          <cell r="J49"/>
          <cell r="K49"/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D50"/>
          <cell r="E50"/>
          <cell r="F50">
            <v>1.6854996585691296E-3</v>
          </cell>
          <cell r="G50">
            <v>3.2792273943261542E-2</v>
          </cell>
          <cell r="H50">
            <v>6.3881174848186657E-3</v>
          </cell>
          <cell r="I50">
            <v>2.1107518579979718E-3</v>
          </cell>
          <cell r="J50"/>
          <cell r="K50"/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D51"/>
          <cell r="E51"/>
          <cell r="F51">
            <v>1.6860373355461378E-3</v>
          </cell>
          <cell r="G51">
            <v>3.2793127143862406E-2</v>
          </cell>
          <cell r="H51">
            <v>6.3884662210051454E-3</v>
          </cell>
          <cell r="I51">
            <v>2.1113716554863153E-3</v>
          </cell>
          <cell r="J51"/>
          <cell r="K51"/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1.5774476115660699E-5</v>
          </cell>
          <cell r="E52">
            <v>5.7097557635780997E-6</v>
          </cell>
          <cell r="F52">
            <v>1.5764736778743599E-2</v>
          </cell>
          <cell r="G52">
            <v>3.5172857228827098E-2</v>
          </cell>
          <cell r="H52">
            <v>4.5374746734223197E-2</v>
          </cell>
          <cell r="I52">
            <v>6.4637500429359104E-2</v>
          </cell>
          <cell r="J52"/>
          <cell r="K52"/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1.5778815955721203E-5</v>
          </cell>
          <cell r="E53">
            <v>7.8351979388200472E-7</v>
          </cell>
          <cell r="F53">
            <v>1.576249633614351E-2</v>
          </cell>
          <cell r="G53">
            <v>5.0926702213904711E-2</v>
          </cell>
          <cell r="H53">
            <v>9.4412511139368147E-2</v>
          </cell>
          <cell r="I53">
            <v>0.10694966043465394</v>
          </cell>
          <cell r="J53"/>
          <cell r="K53"/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D54"/>
          <cell r="E54">
            <v>5.4461233045854263E-2</v>
          </cell>
          <cell r="F54">
            <v>5.6669611254943568E-2</v>
          </cell>
          <cell r="G54">
            <v>0.21514135135622456</v>
          </cell>
          <cell r="H54">
            <v>0.23266770821946609</v>
          </cell>
          <cell r="I54">
            <v>0.25978109612926764</v>
          </cell>
          <cell r="J54"/>
          <cell r="K54"/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3.4306234645622822</v>
          </cell>
          <cell r="E55">
            <v>3.82699966333838</v>
          </cell>
          <cell r="F55">
            <v>4.9654496005646234</v>
          </cell>
          <cell r="G55">
            <v>5.8911921236252685</v>
          </cell>
          <cell r="H55">
            <v>6.1608229918402708</v>
          </cell>
          <cell r="I55">
            <v>5.5328952544682348</v>
          </cell>
          <cell r="J55"/>
          <cell r="K55"/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3.1843992119315927</v>
          </cell>
          <cell r="E56">
            <v>3.5391910951617893</v>
          </cell>
          <cell r="F56">
            <v>1.6872127275530093</v>
          </cell>
          <cell r="G56">
            <v>2.2393173330631595</v>
          </cell>
          <cell r="H56">
            <v>2.5091124512491345</v>
          </cell>
          <cell r="I56">
            <v>2.3543027511322725</v>
          </cell>
          <cell r="J56"/>
          <cell r="K56"/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1.7249826630930327</v>
          </cell>
          <cell r="E57">
            <v>1.8957712341073694</v>
          </cell>
          <cell r="F57">
            <v>1.8539305627691298</v>
          </cell>
          <cell r="G57">
            <v>2.7233118804414342</v>
          </cell>
          <cell r="H57">
            <v>2.99144617469759</v>
          </cell>
          <cell r="I57">
            <v>3.6182088051258656</v>
          </cell>
          <cell r="J57"/>
          <cell r="K57"/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D58"/>
          <cell r="E58">
            <v>0.35009000783262539</v>
          </cell>
          <cell r="F58">
            <v>0.10964663559505242</v>
          </cell>
          <cell r="G58">
            <v>0.30501993739066274</v>
          </cell>
          <cell r="H58">
            <v>0.370512858482139</v>
          </cell>
          <cell r="I58">
            <v>0.43235871348561955</v>
          </cell>
          <cell r="J58"/>
          <cell r="K58"/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9.218733951541477</v>
          </cell>
          <cell r="E59">
            <v>10.684970895281182</v>
          </cell>
          <cell r="F59">
            <v>9.5653734344077748</v>
          </cell>
          <cell r="G59">
            <v>12.498122952897676</v>
          </cell>
          <cell r="H59">
            <v>13.378004246227722</v>
          </cell>
          <cell r="I59">
            <v>13.208155522397876</v>
          </cell>
          <cell r="J59"/>
          <cell r="K59"/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0.62767195290019095</v>
          </cell>
          <cell r="E60">
            <v>1.6886916646631301E-5</v>
          </cell>
          <cell r="F60">
            <v>1.9651396894178901E-7</v>
          </cell>
          <cell r="G60">
            <v>2.44785769875013E-7</v>
          </cell>
          <cell r="H60">
            <v>6.36027652380585E-7</v>
          </cell>
          <cell r="I60">
            <v>7.4931341748014903E-7</v>
          </cell>
          <cell r="J60"/>
          <cell r="K60"/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0.62767195290019095</v>
          </cell>
          <cell r="E61">
            <v>0.62768883981683798</v>
          </cell>
          <cell r="F61">
            <v>0.62768903633080697</v>
          </cell>
          <cell r="G61">
            <v>0.62768928111657696</v>
          </cell>
          <cell r="H61">
            <v>0.62770089167564402</v>
          </cell>
          <cell r="I61">
            <v>0.627701640989061</v>
          </cell>
          <cell r="J61"/>
          <cell r="K61"/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2.6275287405672469E-2</v>
          </cell>
          <cell r="E62">
            <v>3.7973681746561851E-4</v>
          </cell>
          <cell r="F62">
            <v>1.3314098204520771E-3</v>
          </cell>
          <cell r="G62">
            <v>4.8415100900652935E-4</v>
          </cell>
          <cell r="H62">
            <v>5.5402417220535204E-2</v>
          </cell>
          <cell r="I62">
            <v>3.0022805789818244E-4</v>
          </cell>
          <cell r="J62"/>
          <cell r="K62"/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2.6288157508675195E-2</v>
          </cell>
          <cell r="E63">
            <v>3.7969591748356817E-4</v>
          </cell>
          <cell r="F63">
            <v>1.3297790651105742E-3</v>
          </cell>
          <cell r="G63">
            <v>4.8420095665666584E-4</v>
          </cell>
          <cell r="H63">
            <v>5.5291440984070989E-2</v>
          </cell>
          <cell r="I63">
            <v>3.0039282579608377E-4</v>
          </cell>
          <cell r="J63"/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5.2563444914347633E-2</v>
          </cell>
          <cell r="E64">
            <v>7.59432734949187E-4</v>
          </cell>
          <cell r="F64">
            <v>2.6563446712735755E-3</v>
          </cell>
          <cell r="G64">
            <v>9.6835196566319567E-4</v>
          </cell>
          <cell r="H64">
            <v>0.1106938582046062</v>
          </cell>
          <cell r="I64">
            <v>6.0062088369426615E-4</v>
          </cell>
          <cell r="J64"/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73.238333669629441</v>
          </cell>
          <cell r="E65">
            <v>78.573987842170183</v>
          </cell>
          <cell r="F65">
            <v>61.753761785428011</v>
          </cell>
          <cell r="G65">
            <v>60.780560157735707</v>
          </cell>
          <cell r="H65">
            <v>59.76370874325692</v>
          </cell>
          <cell r="I65">
            <v>58.300247167994421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D66"/>
          <cell r="E66">
            <v>9.1171410111016762</v>
          </cell>
          <cell r="F66">
            <v>2.3471219762244582</v>
          </cell>
          <cell r="G66">
            <v>4.7612941833320921</v>
          </cell>
          <cell r="H66">
            <v>9.2838213356826635</v>
          </cell>
          <cell r="I66">
            <v>13.894785932666057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6.1735457710597021</v>
          </cell>
          <cell r="E67">
            <v>4.7454747500016268</v>
          </cell>
          <cell r="F67">
            <v>7.3166302620376023</v>
          </cell>
          <cell r="G67">
            <v>7.7007279064040768</v>
          </cell>
          <cell r="H67">
            <v>6.469788042737048</v>
          </cell>
          <cell r="I67">
            <v>4.9038844022405721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SCOM-SHLTHD</v>
          </cell>
          <cell r="D68">
            <v>5.5539028277101927</v>
          </cell>
          <cell r="E68">
            <v>6.0159372275659839</v>
          </cell>
          <cell r="F68">
            <v>4.8413445948101392</v>
          </cell>
          <cell r="G68">
            <v>6.1870254422191504</v>
          </cell>
          <cell r="H68">
            <v>7.2467849063955949</v>
          </cell>
          <cell r="I68">
            <v>7.0240106518889434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SCOM-SHELCB</v>
          </cell>
          <cell r="D69">
            <v>2.3940368200151165</v>
          </cell>
          <cell r="E69">
            <v>2.2545232039484298E-3</v>
          </cell>
          <cell r="F69">
            <v>0.49767769575339715</v>
          </cell>
          <cell r="G69">
            <v>0.30366240305237396</v>
          </cell>
          <cell r="H69">
            <v>0.21872582227651088</v>
          </cell>
          <cell r="I69">
            <v>0.15803757595194534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SCOM-SHBIO</v>
          </cell>
          <cell r="D70">
            <v>1.223067146406982</v>
          </cell>
          <cell r="E70">
            <v>1.3407670422865576</v>
          </cell>
          <cell r="F70"/>
          <cell r="G70"/>
          <cell r="H70"/>
          <cell r="I70"/>
          <cell r="J70"/>
        </row>
        <row r="71">
          <cell r="A71" t="str">
            <v>SCOM-SHDEM</v>
          </cell>
          <cell r="B71" t="str">
            <v>VAR_fin</v>
          </cell>
          <cell r="C71" t="str">
            <v>SCOM-SHELCH</v>
          </cell>
          <cell r="D71">
            <v>4.2612072229544866</v>
          </cell>
          <cell r="E71">
            <v>4.6176499564054243</v>
          </cell>
          <cell r="F71">
            <v>4.3748272647498068</v>
          </cell>
          <cell r="G71">
            <v>7.349107606782523</v>
          </cell>
          <cell r="H71">
            <v>14.968429188258776</v>
          </cell>
          <cell r="I71">
            <v>17.812710426433739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SCOM-SHPLT</v>
          </cell>
          <cell r="D72">
            <v>1.8770718037536425</v>
          </cell>
          <cell r="E72">
            <v>2.1600825784416551</v>
          </cell>
          <cell r="F72">
            <v>0.41069854048760784</v>
          </cell>
          <cell r="G72">
            <v>0.76196457757119362</v>
          </cell>
          <cell r="H72">
            <v>1.2262372589461954</v>
          </cell>
          <cell r="I72">
            <v>1.2528713555650488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SCOM-SHLTHC-NGA</v>
          </cell>
          <cell r="D73">
            <v>0.68565121949047203</v>
          </cell>
          <cell r="E73">
            <v>0.74269140189889016</v>
          </cell>
          <cell r="F73"/>
          <cell r="G73"/>
          <cell r="H73"/>
          <cell r="I73"/>
          <cell r="J73"/>
        </row>
        <row r="74">
          <cell r="A74" t="str">
            <v>SCOM-SHDEM</v>
          </cell>
          <cell r="B74" t="str">
            <v>VAR_fin</v>
          </cell>
          <cell r="C74" t="str">
            <v>SCOM-SHSOL</v>
          </cell>
          <cell r="D74">
            <v>0.62699749994516563</v>
          </cell>
          <cell r="E74">
            <v>0.68733541885687155</v>
          </cell>
          <cell r="F74">
            <v>0.52356212687139048</v>
          </cell>
          <cell r="G74">
            <v>0.61153790544339282</v>
          </cell>
          <cell r="H74">
            <v>0.73497080262639236</v>
          </cell>
          <cell r="I74">
            <v>0.7799937519523914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SCOM-SHNGA</v>
          </cell>
          <cell r="D75">
            <v>24.189716008183314</v>
          </cell>
          <cell r="E75">
            <v>25.326920916096864</v>
          </cell>
          <cell r="F75">
            <v>19.477091580797151</v>
          </cell>
          <cell r="G75">
            <v>14.742854205581388</v>
          </cell>
          <cell r="H75">
            <v>5.236893577808595</v>
          </cell>
          <cell r="I75">
            <v>1.8220261726672842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SCOM-SHNGAH</v>
          </cell>
          <cell r="D76"/>
          <cell r="E76"/>
          <cell r="F76">
            <v>2.0826289639057016</v>
          </cell>
          <cell r="G76">
            <v>5.9606241014573609</v>
          </cell>
          <cell r="H76">
            <v>10.12612210390505</v>
          </cell>
          <cell r="I76">
            <v>10.459554491960052</v>
          </cell>
          <cell r="J76"/>
          <cell r="K76"/>
        </row>
        <row r="77">
          <cell r="A77" t="str">
            <v>SCOM-SHDEM</v>
          </cell>
          <cell r="B77" t="str">
            <v>VAR_fin</v>
          </cell>
          <cell r="C77" t="str">
            <v>SCOM-SHLTHC-BIO</v>
          </cell>
          <cell r="D77">
            <v>1.4100664028149119</v>
          </cell>
          <cell r="E77">
            <v>1.5273707223859767</v>
          </cell>
          <cell r="F77"/>
          <cell r="G77"/>
          <cell r="H77"/>
          <cell r="I77"/>
          <cell r="J77"/>
          <cell r="K77"/>
        </row>
        <row r="78">
          <cell r="A78" t="str">
            <v>SCOM-SHDEM</v>
          </cell>
          <cell r="B78" t="str">
            <v>VAR_fin</v>
          </cell>
          <cell r="C78" t="str">
            <v>SCOM-SHLFO</v>
          </cell>
          <cell r="D78">
            <v>24.843070947295473</v>
          </cell>
          <cell r="E78">
            <v>22.290362293924712</v>
          </cell>
          <cell r="F78">
            <v>19.882178779790753</v>
          </cell>
          <cell r="G78">
            <v>12.401761825892178</v>
          </cell>
          <cell r="H78">
            <v>4.2519357046201005</v>
          </cell>
          <cell r="I78">
            <v>0.19237240666837704</v>
          </cell>
          <cell r="J78"/>
          <cell r="K78"/>
        </row>
        <row r="79">
          <cell r="A79" t="str">
            <v>ITOT-SWHSTG-NGAHP</v>
          </cell>
          <cell r="B79" t="str">
            <v>VAR_fout</v>
          </cell>
          <cell r="C79" t="str">
            <v>ITOT-SWHANGAH</v>
          </cell>
          <cell r="D79">
            <v>4.9357327772301375E-5</v>
          </cell>
          <cell r="E79">
            <v>1.0094857359679988E-4</v>
          </cell>
          <cell r="F79">
            <v>8.6864143263287068E-4</v>
          </cell>
          <cell r="G79">
            <v>9.226973378094229E-4</v>
          </cell>
          <cell r="H79">
            <v>9.8790615586653798E-4</v>
          </cell>
          <cell r="I79">
            <v>6.5008774449495238E-4</v>
          </cell>
          <cell r="J79"/>
          <cell r="K79"/>
        </row>
        <row r="80">
          <cell r="A80" t="str">
            <v>ITOT-SWHSTG-NGAHP</v>
          </cell>
          <cell r="B80" t="str">
            <v>VAR_fin</v>
          </cell>
          <cell r="C80" t="str">
            <v>ITOT-SWHANGAH</v>
          </cell>
          <cell r="D80">
            <v>4.9357327772301375E-5</v>
          </cell>
          <cell r="E80">
            <v>1.0094857359679988E-4</v>
          </cell>
          <cell r="F80">
            <v>1.1209037335034948E-3</v>
          </cell>
          <cell r="G80">
            <v>1.1534473850836097E-3</v>
          </cell>
          <cell r="H80">
            <v>1.1616324432698469E-3</v>
          </cell>
          <cell r="I80">
            <v>7.1561483432978131E-4</v>
          </cell>
          <cell r="J80"/>
          <cell r="K80"/>
        </row>
        <row r="81">
          <cell r="A81" t="str">
            <v>ITOT-SWHSTG-NGAHP</v>
          </cell>
          <cell r="B81" t="str">
            <v>VAR_ncap</v>
          </cell>
          <cell r="C81" t="str">
            <v>-</v>
          </cell>
          <cell r="D81">
            <v>2.4888068962182599E-3</v>
          </cell>
          <cell r="E81">
            <v>6.6863475255505504E-6</v>
          </cell>
          <cell r="F81">
            <v>1.02424167508225E-4</v>
          </cell>
          <cell r="G81">
            <v>3.49344528257919E-5</v>
          </cell>
          <cell r="H81">
            <v>6.1368515528063204E-5</v>
          </cell>
          <cell r="I81">
            <v>4.3946975748616998E-5</v>
          </cell>
          <cell r="J81"/>
          <cell r="K81"/>
        </row>
        <row r="82">
          <cell r="A82" t="str">
            <v>ITOT-SWHSTG-NGAHP</v>
          </cell>
          <cell r="B82" t="str">
            <v>VAR_cap</v>
          </cell>
          <cell r="C82" t="str">
            <v>-</v>
          </cell>
          <cell r="D82">
            <v>2.4888068962182599E-3</v>
          </cell>
          <cell r="E82">
            <v>6.6802966724400104E-5</v>
          </cell>
          <cell r="F82">
            <v>1.6077275289576006E-4</v>
          </cell>
          <cell r="G82">
            <v>1.6608130425119997E-4</v>
          </cell>
          <cell r="H82">
            <v>1.8030079289280609E-4</v>
          </cell>
          <cell r="I82">
            <v>8.8294170937587807E-5</v>
          </cell>
          <cell r="J82"/>
        </row>
        <row r="83">
          <cell r="A83" t="str">
            <v>ITOT-STG-ELCSPEC</v>
          </cell>
          <cell r="B83" t="str">
            <v>VAR_fout</v>
          </cell>
          <cell r="C83" t="str">
            <v>ITOT-ELS</v>
          </cell>
          <cell r="D83"/>
          <cell r="E83">
            <v>2.5917261363639307E-2</v>
          </cell>
          <cell r="F83">
            <v>2.8369658941361758E-2</v>
          </cell>
          <cell r="G83">
            <v>4.938747564518374E-2</v>
          </cell>
          <cell r="H83">
            <v>0.83256087457889738</v>
          </cell>
          <cell r="I83">
            <v>1.1672640769919829</v>
          </cell>
          <cell r="J83"/>
          <cell r="K83"/>
        </row>
        <row r="84">
          <cell r="A84" t="str">
            <v>ITOT-STG-ELCSPEC</v>
          </cell>
          <cell r="B84" t="str">
            <v>VAR_fin</v>
          </cell>
          <cell r="C84" t="str">
            <v>ITOT-ELS</v>
          </cell>
          <cell r="D84"/>
          <cell r="E84">
            <v>2.5918342467269845E-2</v>
          </cell>
          <cell r="F84">
            <v>2.8370740044992362E-2</v>
          </cell>
          <cell r="G84">
            <v>4.9389032434411811E-2</v>
          </cell>
          <cell r="H84">
            <v>0.83256258395878313</v>
          </cell>
          <cell r="I84">
            <v>1.1672648972536874</v>
          </cell>
          <cell r="J84"/>
          <cell r="K84"/>
        </row>
        <row r="85">
          <cell r="A85" t="str">
            <v>ITOT-STG-ELCSPEC</v>
          </cell>
          <cell r="B85" t="str">
            <v>VAR_ncap</v>
          </cell>
          <cell r="C85" t="str">
            <v>-</v>
          </cell>
          <cell r="D85"/>
          <cell r="E85">
            <v>9.8863472354349504E-4</v>
          </cell>
          <cell r="F85">
            <v>8.5669958558460995E-5</v>
          </cell>
          <cell r="G85">
            <v>7.0504930499127498E-4</v>
          </cell>
          <cell r="H85">
            <v>3.1206574804985499E-2</v>
          </cell>
          <cell r="I85">
            <v>2.7027627654981901E-2</v>
          </cell>
          <cell r="J85"/>
          <cell r="K85"/>
        </row>
        <row r="86">
          <cell r="A86" t="str">
            <v>ITOT-STG-ELCSPEC</v>
          </cell>
          <cell r="B86" t="str">
            <v>VAR_cap</v>
          </cell>
          <cell r="C86" t="str">
            <v>-</v>
          </cell>
          <cell r="D86"/>
          <cell r="E86">
            <v>9.8863472354349504E-4</v>
          </cell>
          <cell r="F86">
            <v>1.0737594813922671E-3</v>
          </cell>
          <cell r="G86">
            <v>1.7776614803881243E-3</v>
          </cell>
          <cell r="H86">
            <v>3.6569790722907718E-2</v>
          </cell>
          <cell r="I86">
            <v>6.165529080635291E-2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RHSA_LTH</v>
          </cell>
          <cell r="D87">
            <v>4.8494280230417276E-2</v>
          </cell>
          <cell r="E87">
            <v>7.2619504700013963E-5</v>
          </cell>
          <cell r="F87">
            <v>4.4416924099060116E-3</v>
          </cell>
          <cell r="G87">
            <v>1.5402181622251403E-3</v>
          </cell>
          <cell r="H87">
            <v>3.3456560169518586E-3</v>
          </cell>
          <cell r="I87">
            <v>5.2802394656410235E-4</v>
          </cell>
          <cell r="J87"/>
          <cell r="K87"/>
          <cell r="L87"/>
        </row>
        <row r="88">
          <cell r="A88" t="str">
            <v>D-RHES_LTH_CHPNGA</v>
          </cell>
          <cell r="B88" t="str">
            <v>VAR_fout</v>
          </cell>
          <cell r="C88" t="str">
            <v>LTH</v>
          </cell>
          <cell r="D88"/>
          <cell r="E88"/>
          <cell r="F88"/>
          <cell r="G88"/>
          <cell r="H88">
            <v>3.7498051147139135E-6</v>
          </cell>
          <cell r="I88">
            <v>1.3786574680888809E-7</v>
          </cell>
          <cell r="J88"/>
          <cell r="K88"/>
        </row>
        <row r="89">
          <cell r="A89" t="str">
            <v>D-RHES_LTH_CHPNGA</v>
          </cell>
          <cell r="B89" t="str">
            <v>VAR_fout</v>
          </cell>
          <cell r="C89" t="str">
            <v>RHES_LTH_CHPNGA_ON</v>
          </cell>
          <cell r="D89">
            <v>4.1669818761219231E-2</v>
          </cell>
          <cell r="E89">
            <v>4.1361461246963056E-3</v>
          </cell>
          <cell r="F89">
            <v>1.55266821092947E-5</v>
          </cell>
          <cell r="G89">
            <v>4.2901991187283625E-5</v>
          </cell>
          <cell r="H89"/>
          <cell r="I89"/>
          <cell r="J89"/>
          <cell r="K89"/>
        </row>
        <row r="90">
          <cell r="A90" t="str">
            <v>D-RHES_LTH_CHPNGA</v>
          </cell>
          <cell r="B90" t="str">
            <v>VAR_fin</v>
          </cell>
          <cell r="C90" t="str">
            <v>RHES_LTH_CHPNGA</v>
          </cell>
          <cell r="D90">
            <v>9.0164098991636576E-2</v>
          </cell>
          <cell r="E90">
            <v>4.2093673567798187E-3</v>
          </cell>
          <cell r="F90">
            <v>4.4586774473354277E-3</v>
          </cell>
          <cell r="G90">
            <v>1.5841722460139878E-3</v>
          </cell>
          <cell r="H90">
            <v>3.3498900912817815E-3</v>
          </cell>
          <cell r="I90">
            <v>5.2908138545869126E-4</v>
          </cell>
          <cell r="J90"/>
          <cell r="K90"/>
        </row>
        <row r="91">
          <cell r="A91" t="str">
            <v>D-ICOA</v>
          </cell>
          <cell r="B91" t="str">
            <v>VAR_fout</v>
          </cell>
          <cell r="C91" t="str">
            <v>ICOA</v>
          </cell>
          <cell r="D91">
            <v>3.5600031186339249</v>
          </cell>
          <cell r="E91">
            <v>3.4647171643550578</v>
          </cell>
          <cell r="F91">
            <v>2.5284504089767169E-3</v>
          </cell>
          <cell r="G91">
            <v>3.0219355950569904</v>
          </cell>
          <cell r="H91">
            <v>1.3360185557488916E-3</v>
          </cell>
          <cell r="I91"/>
          <cell r="J91"/>
          <cell r="K91"/>
        </row>
        <row r="92">
          <cell r="A92" t="str">
            <v>D-ICOA</v>
          </cell>
          <cell r="B92" t="str">
            <v>VAR_fout</v>
          </cell>
          <cell r="C92" t="str">
            <v>CO2</v>
          </cell>
          <cell r="D92">
            <v>330.012289097365</v>
          </cell>
          <cell r="E92">
            <v>321.17928113571401</v>
          </cell>
          <cell r="F92">
            <v>0.23438735291214099</v>
          </cell>
          <cell r="G92">
            <v>280.133429661783</v>
          </cell>
          <cell r="H92">
            <v>0.12384892011792201</v>
          </cell>
          <cell r="I92"/>
          <cell r="J92"/>
          <cell r="K92"/>
        </row>
        <row r="93">
          <cell r="A93" t="str">
            <v>D-ICOA</v>
          </cell>
          <cell r="B93" t="str">
            <v>VAR_fin</v>
          </cell>
          <cell r="C93" t="str">
            <v>COA</v>
          </cell>
          <cell r="D93">
            <v>3.5600031186339249</v>
          </cell>
          <cell r="E93">
            <v>3.4647171643550578</v>
          </cell>
          <cell r="F93">
            <v>2.5284504089767169E-3</v>
          </cell>
          <cell r="G93">
            <v>3.0219355950569904</v>
          </cell>
          <cell r="H93">
            <v>1.3360185557488916E-3</v>
          </cell>
          <cell r="I93"/>
          <cell r="J93"/>
        </row>
        <row r="94">
          <cell r="A94" t="str">
            <v>RHEM-SHCONBR1</v>
          </cell>
          <cell r="B94" t="str">
            <v>VAR_fout</v>
          </cell>
          <cell r="C94" t="str">
            <v>RHEM-SHCON</v>
          </cell>
          <cell r="D94">
            <v>4.0729725343111884E-3</v>
          </cell>
          <cell r="E94">
            <v>0.78032898737761425</v>
          </cell>
          <cell r="F94">
            <v>0.58091258158167669</v>
          </cell>
          <cell r="G94">
            <v>2.9320425544132251</v>
          </cell>
          <cell r="H94">
            <v>3.6955250146176724</v>
          </cell>
          <cell r="I94">
            <v>4.2470185504864251</v>
          </cell>
          <cell r="J94"/>
        </row>
        <row r="95">
          <cell r="A95" t="str">
            <v>RHEM-SHCONBR1</v>
          </cell>
          <cell r="B95" t="str">
            <v>VAR_fin</v>
          </cell>
          <cell r="C95" t="str">
            <v>CON</v>
          </cell>
          <cell r="D95">
            <v>4.0729725343111884E-3</v>
          </cell>
          <cell r="E95">
            <v>0.78032898737761425</v>
          </cell>
          <cell r="F95">
            <v>0.58091258158167669</v>
          </cell>
          <cell r="G95">
            <v>2.9320425544132251</v>
          </cell>
          <cell r="H95">
            <v>3.6955250146176724</v>
          </cell>
          <cell r="I95">
            <v>4.2470185504864251</v>
          </cell>
          <cell r="J95"/>
          <cell r="K95"/>
        </row>
        <row r="96">
          <cell r="A96" t="str">
            <v>RHEM-SHCONBR1</v>
          </cell>
          <cell r="B96" t="str">
            <v>VAR_ncap</v>
          </cell>
          <cell r="C96" t="str">
            <v>-</v>
          </cell>
          <cell r="D96">
            <v>2.7551490955217799E-2</v>
          </cell>
          <cell r="E96">
            <v>2.7551487598495499E-2</v>
          </cell>
          <cell r="F96">
            <v>4.4549867116373301E-7</v>
          </cell>
          <cell r="G96">
            <v>0.15194867345714899</v>
          </cell>
          <cell r="H96">
            <v>5.4235402102299599E-6</v>
          </cell>
          <cell r="I96">
            <v>6.4296090916943702E-2</v>
          </cell>
          <cell r="J96"/>
          <cell r="K96"/>
        </row>
        <row r="97">
          <cell r="A97" t="str">
            <v>RHEM-SHCONBR1</v>
          </cell>
          <cell r="B97" t="str">
            <v>VAR_cap</v>
          </cell>
          <cell r="C97" t="str">
            <v>-</v>
          </cell>
          <cell r="D97">
            <v>2.7551490955217799E-2</v>
          </cell>
          <cell r="E97">
            <v>5.5102968166854692E-2</v>
          </cell>
          <cell r="F97">
            <v>5.5103156923520573E-2</v>
          </cell>
          <cell r="G97">
            <v>0.20705198220035226</v>
          </cell>
          <cell r="H97">
            <v>0.260970493383469</v>
          </cell>
          <cell r="I97">
            <v>0.29990834144954015</v>
          </cell>
          <cell r="J97"/>
          <cell r="K97"/>
        </row>
        <row r="98">
          <cell r="A98" t="str">
            <v>RHEM-SHELCBR</v>
          </cell>
          <cell r="B98" t="str">
            <v>VAR_fout</v>
          </cell>
          <cell r="C98" t="str">
            <v>RHEM-SHAELCB</v>
          </cell>
          <cell r="D98">
            <v>4.6280287119944452</v>
          </cell>
          <cell r="E98">
            <v>1.8905717535656217</v>
          </cell>
          <cell r="F98">
            <v>3.5737013814741203E-2</v>
          </cell>
          <cell r="G98">
            <v>1.0858078790026012E-2</v>
          </cell>
          <cell r="H98">
            <v>2.2492377080771046E-3</v>
          </cell>
          <cell r="I98">
            <v>2.4919384150114735E-3</v>
          </cell>
          <cell r="J98"/>
        </row>
        <row r="99">
          <cell r="A99" t="str">
            <v>RHEM-SHELCBR</v>
          </cell>
          <cell r="B99" t="str">
            <v>VAR_fin</v>
          </cell>
          <cell r="C99" t="str">
            <v>RHEM_ELC</v>
          </cell>
          <cell r="D99">
            <v>4.8716091705204656</v>
          </cell>
          <cell r="E99">
            <v>1.9900755300690747</v>
          </cell>
          <cell r="F99">
            <v>3.9001943205196253E-2</v>
          </cell>
          <cell r="G99">
            <v>1.1850071594718851E-2</v>
          </cell>
          <cell r="H99">
            <v>2.3971088889422933E-3</v>
          </cell>
          <cell r="I99">
            <v>2.6431046926054858E-3</v>
          </cell>
          <cell r="J99"/>
        </row>
        <row r="100">
          <cell r="A100" t="str">
            <v>RHEM-SHELCBR</v>
          </cell>
          <cell r="B100" t="str">
            <v>VAR_ncap</v>
          </cell>
          <cell r="C100" t="str">
            <v>-</v>
          </cell>
          <cell r="D100">
            <v>8.5710489844055496E-7</v>
          </cell>
          <cell r="E100">
            <v>6.5051194639421695E-7</v>
          </cell>
          <cell r="F100">
            <v>6.0661736983199298E-7</v>
          </cell>
          <cell r="G100">
            <v>6.8836920748424402E-7</v>
          </cell>
          <cell r="H100">
            <v>2.5626247152186002E-4</v>
          </cell>
          <cell r="I100">
            <v>7.9074812311065603E-5</v>
          </cell>
          <cell r="J100"/>
          <cell r="K100"/>
        </row>
        <row r="101">
          <cell r="A101" t="str">
            <v>RHEM-SHELCBR</v>
          </cell>
          <cell r="B101" t="str">
            <v>VAR_cap</v>
          </cell>
          <cell r="C101" t="str">
            <v>-</v>
          </cell>
          <cell r="D101">
            <v>0.32680200105323742</v>
          </cell>
          <cell r="E101">
            <v>0.21730130168181877</v>
          </cell>
          <cell r="F101">
            <v>4.4231933315826422E-3</v>
          </cell>
          <cell r="G101">
            <v>1.3896493046131608E-3</v>
          </cell>
          <cell r="H101">
            <v>2.5761401655748274E-4</v>
          </cell>
          <cell r="I101">
            <v>2.6511160647263584E-4</v>
          </cell>
          <cell r="J101"/>
          <cell r="K101"/>
        </row>
        <row r="102">
          <cell r="A102" t="str">
            <v>RHNM-SHLTHCHPNGA</v>
          </cell>
          <cell r="B102" t="str">
            <v>VAR_fout</v>
          </cell>
          <cell r="C102" t="str">
            <v>RHNM-SHLTHC-NGA</v>
          </cell>
          <cell r="D102"/>
          <cell r="E102">
            <v>2.5591999322827183E-3</v>
          </cell>
          <cell r="F102"/>
          <cell r="G102"/>
          <cell r="H102"/>
          <cell r="I102"/>
          <cell r="J102"/>
          <cell r="K102"/>
        </row>
        <row r="103">
          <cell r="A103" t="str">
            <v>RHNM-SHLTHCHPNGA</v>
          </cell>
          <cell r="B103" t="str">
            <v>VAR_fin</v>
          </cell>
          <cell r="C103" t="str">
            <v>RHNMLTHCHPC</v>
          </cell>
          <cell r="D103"/>
          <cell r="E103">
            <v>2.5591999322827183E-3</v>
          </cell>
          <cell r="F103"/>
          <cell r="G103"/>
          <cell r="H103"/>
          <cell r="I103"/>
          <cell r="J103"/>
        </row>
        <row r="104">
          <cell r="A104" t="str">
            <v>RHNM-SHLTHCHPNGA</v>
          </cell>
          <cell r="B104" t="str">
            <v>VAR_fin</v>
          </cell>
          <cell r="C104" t="str">
            <v>RHNM_LTH_CHPNGA_ON</v>
          </cell>
          <cell r="D104"/>
          <cell r="E104">
            <v>2.5850504366492113E-3</v>
          </cell>
          <cell r="F104"/>
          <cell r="G104"/>
          <cell r="H104"/>
          <cell r="I104"/>
          <cell r="J104"/>
        </row>
        <row r="105">
          <cell r="A105" t="str">
            <v>RHNM-SHLTHCHPNGA</v>
          </cell>
          <cell r="B105" t="str">
            <v>VAR_ncap</v>
          </cell>
          <cell r="C105" t="str">
            <v>-</v>
          </cell>
          <cell r="D105"/>
          <cell r="E105">
            <v>2.9173929311155001E-4</v>
          </cell>
          <cell r="F105">
            <v>2.1532936339111499E-4</v>
          </cell>
          <cell r="G105">
            <v>1.9425271255725499E-4</v>
          </cell>
          <cell r="H105">
            <v>6.6889294558701304E-3</v>
          </cell>
          <cell r="I105">
            <v>7.84329667787577E-5</v>
          </cell>
          <cell r="J105"/>
          <cell r="K105"/>
        </row>
        <row r="106">
          <cell r="A106" t="str">
            <v>RHNM-SHLTHCHPNGA</v>
          </cell>
          <cell r="B106" t="str">
            <v>VAR_cap</v>
          </cell>
          <cell r="C106" t="str">
            <v>-</v>
          </cell>
          <cell r="D106"/>
          <cell r="E106">
            <v>2.9173929311155001E-4</v>
          </cell>
          <cell r="F106">
            <v>2.9656667383789201E-4</v>
          </cell>
          <cell r="G106">
            <v>3.34947531389748E-4</v>
          </cell>
          <cell r="H106">
            <v>6.8786240926736134E-3</v>
          </cell>
          <cell r="I106">
            <v>1.7087053637247079E-4</v>
          </cell>
          <cell r="J106"/>
          <cell r="K106"/>
        </row>
        <row r="107">
          <cell r="A107" t="str">
            <v>RHEM-SHCONBR2</v>
          </cell>
          <cell r="B107" t="str">
            <v>VAR_fout</v>
          </cell>
          <cell r="C107" t="str">
            <v>RHEM-SHCON</v>
          </cell>
          <cell r="D107">
            <v>4.6721077424489122E-3</v>
          </cell>
          <cell r="E107">
            <v>1.2153861493678475</v>
          </cell>
          <cell r="F107">
            <v>0.95412649979570396</v>
          </cell>
          <cell r="G107">
            <v>1.2153509461160661</v>
          </cell>
          <cell r="H107">
            <v>4.0245592946315591</v>
          </cell>
          <cell r="I107">
            <v>6.6148225997209575</v>
          </cell>
          <cell r="J107"/>
          <cell r="K107"/>
        </row>
        <row r="108">
          <cell r="A108" t="str">
            <v>RHEM-SHCONBR2</v>
          </cell>
          <cell r="B108" t="str">
            <v>VAR_fin</v>
          </cell>
          <cell r="C108" t="str">
            <v>CON</v>
          </cell>
          <cell r="D108">
            <v>4.6721077424489122E-3</v>
          </cell>
          <cell r="E108">
            <v>1.2153861493678475</v>
          </cell>
          <cell r="F108">
            <v>0.95412649979570396</v>
          </cell>
          <cell r="G108">
            <v>1.2153509461160661</v>
          </cell>
          <cell r="H108">
            <v>4.0245592946315591</v>
          </cell>
          <cell r="I108">
            <v>6.6148225997209575</v>
          </cell>
          <cell r="J108"/>
          <cell r="K108"/>
        </row>
        <row r="109">
          <cell r="A109" t="str">
            <v>RHEM-SHCONBR2</v>
          </cell>
          <cell r="B109" t="str">
            <v>VAR_ncap</v>
          </cell>
          <cell r="C109" t="str">
            <v>-</v>
          </cell>
          <cell r="D109">
            <v>4.2912030799529897E-2</v>
          </cell>
          <cell r="E109">
            <v>4.2912025151690902E-2</v>
          </cell>
          <cell r="F109">
            <v>3.4789118987489901E-7</v>
          </cell>
          <cell r="G109">
            <v>5.8033571089429002E-6</v>
          </cell>
          <cell r="H109">
            <v>5.4358225702009599E-2</v>
          </cell>
          <cell r="I109">
            <v>0.222397173406157</v>
          </cell>
          <cell r="J109"/>
        </row>
        <row r="110">
          <cell r="A110" t="str">
            <v>RHEM-SHCONBR2</v>
          </cell>
          <cell r="B110" t="str">
            <v>VAR_cap</v>
          </cell>
          <cell r="C110" t="str">
            <v>-</v>
          </cell>
          <cell r="D110">
            <v>4.2912030799529897E-2</v>
          </cell>
          <cell r="E110">
            <v>8.5824045102958282E-2</v>
          </cell>
          <cell r="F110">
            <v>8.5824134033975846E-2</v>
          </cell>
          <cell r="G110">
            <v>8.5830092868779462E-2</v>
          </cell>
          <cell r="H110">
            <v>0.28420478985529168</v>
          </cell>
          <cell r="I110">
            <v>0.46710601298441801</v>
          </cell>
          <cell r="J110"/>
        </row>
        <row r="111">
          <cell r="A111" t="str">
            <v>D-RHSA_LTH</v>
          </cell>
          <cell r="B111" t="str">
            <v>VAR_fout</v>
          </cell>
          <cell r="C111" t="str">
            <v>RHSA_LTH</v>
          </cell>
          <cell r="D111">
            <v>1.9205295161108034E-2</v>
          </cell>
          <cell r="E111">
            <v>2.3011699746310489E-4</v>
          </cell>
          <cell r="F111">
            <v>1.9213825807484776E-3</v>
          </cell>
          <cell r="G111">
            <v>2.2390551930378832E-3</v>
          </cell>
          <cell r="H111">
            <v>0.11162425327691684</v>
          </cell>
          <cell r="I111">
            <v>1.8627174147395342E-4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RHEM_LTH_CHPWOD_ON</v>
          </cell>
          <cell r="D112">
            <v>6.5355837624982704E-6</v>
          </cell>
          <cell r="E112">
            <v>4.9718184462181218E-6</v>
          </cell>
          <cell r="F112">
            <v>1.5475392595603699E-6</v>
          </cell>
          <cell r="G112"/>
          <cell r="H112"/>
          <cell r="I112"/>
          <cell r="J112"/>
        </row>
        <row r="113">
          <cell r="A113" t="str">
            <v>D-RHSA_LTH</v>
          </cell>
          <cell r="B113" t="str">
            <v>VAR_fin</v>
          </cell>
          <cell r="C113" t="str">
            <v>RHNM_LTH_CHPWOD_ON</v>
          </cell>
          <cell r="D113">
            <v>5.4849347278823179E-6</v>
          </cell>
          <cell r="E113">
            <v>7.3439104745526862E-6</v>
          </cell>
          <cell r="F113">
            <v>8.433158900860041E-7</v>
          </cell>
          <cell r="G113"/>
          <cell r="H113">
            <v>2.6879437255623966E-3</v>
          </cell>
          <cell r="I113"/>
          <cell r="J113"/>
        </row>
        <row r="114">
          <cell r="A114" t="str">
            <v>D-RHSA_LTH</v>
          </cell>
          <cell r="B114" t="str">
            <v>VAR_fin</v>
          </cell>
          <cell r="C114" t="str">
            <v>RHES_LTH_CHPWOD_ON</v>
          </cell>
          <cell r="D114">
            <v>6.2263068782968408E-6</v>
          </cell>
          <cell r="E114">
            <v>7.609334476464287E-6</v>
          </cell>
          <cell r="F114">
            <v>2.2660913489632354E-6</v>
          </cell>
          <cell r="G114">
            <v>1.1076738230940191E-5</v>
          </cell>
          <cell r="H114"/>
          <cell r="I114">
            <v>1.8627174147395342E-4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RHNS_LTH_CHPWOD_ON</v>
          </cell>
          <cell r="D115">
            <v>9.9379959371304324E-6</v>
          </cell>
          <cell r="E115">
            <v>4.0721486586221758E-6</v>
          </cell>
          <cell r="F115">
            <v>6.714330688566593E-7</v>
          </cell>
          <cell r="G115">
            <v>4.3973978503182934E-5</v>
          </cell>
          <cell r="H115">
            <v>1.555915646005215E-3</v>
          </cell>
          <cell r="I115"/>
          <cell r="J115"/>
        </row>
        <row r="116">
          <cell r="A116" t="str">
            <v>D-RHSA_LTH</v>
          </cell>
          <cell r="B116" t="str">
            <v>VAR_fin</v>
          </cell>
          <cell r="C116" t="str">
            <v>RHEM_LTH_CHPNGA_ON</v>
          </cell>
          <cell r="D116">
            <v>9.6298325271925288E-3</v>
          </cell>
          <cell r="E116">
            <v>4.5177563947558287E-5</v>
          </cell>
          <cell r="F116">
            <v>1.7773263121783909E-3</v>
          </cell>
          <cell r="G116">
            <v>1.0492889318625669E-3</v>
          </cell>
          <cell r="H116"/>
          <cell r="I116"/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RHNM_LTH_CHPNGA_ON</v>
          </cell>
          <cell r="D117">
            <v>3.5966960394700888E-6</v>
          </cell>
          <cell r="E117">
            <v>4.9083199332473424E-5</v>
          </cell>
          <cell r="F117">
            <v>1.0232335830118149E-4</v>
          </cell>
          <cell r="G117">
            <v>1.0918135532539096E-3</v>
          </cell>
          <cell r="H117">
            <v>0.10597010952923418</v>
          </cell>
          <cell r="I117"/>
          <cell r="J117"/>
        </row>
        <row r="118">
          <cell r="A118" t="str">
            <v>D-RHSA_LTH</v>
          </cell>
          <cell r="B118" t="str">
            <v>VAR_fin</v>
          </cell>
          <cell r="C118" t="str">
            <v>RHES_LTH_CHPNGA_ON</v>
          </cell>
          <cell r="D118">
            <v>9.5323175167281657E-3</v>
          </cell>
          <cell r="E118">
            <v>8.4038704855209461E-6</v>
          </cell>
          <cell r="F118">
            <v>1.55266821092947E-5</v>
          </cell>
          <cell r="G118">
            <v>4.2901991187283625E-5</v>
          </cell>
          <cell r="H118"/>
          <cell r="I118"/>
          <cell r="J118"/>
          <cell r="K118"/>
        </row>
        <row r="119">
          <cell r="A119" t="str">
            <v>D-RHSA_LTH</v>
          </cell>
          <cell r="B119" t="str">
            <v>VAR_fin</v>
          </cell>
          <cell r="C119" t="str">
            <v>RHNS_LTH_CHPNGA_ON</v>
          </cell>
          <cell r="D119">
            <v>1.1363599842057255E-5</v>
          </cell>
          <cell r="E119">
            <v>1.0345515164169503E-4</v>
          </cell>
          <cell r="F119">
            <v>2.0877848592143718E-5</v>
          </cell>
          <cell r="G119"/>
          <cell r="H119">
            <v>1.4102843761150008E-3</v>
          </cell>
          <cell r="I119"/>
          <cell r="J119"/>
          <cell r="K119"/>
        </row>
        <row r="120">
          <cell r="A120" t="str">
            <v>RHEM-SHLTHCHPWOD</v>
          </cell>
          <cell r="B120" t="str">
            <v>VAR_ncap</v>
          </cell>
          <cell r="C120" t="str">
            <v>-</v>
          </cell>
          <cell r="D120"/>
          <cell r="E120"/>
          <cell r="F120"/>
          <cell r="G120">
            <v>1.47011171603473E-4</v>
          </cell>
          <cell r="H120">
            <v>2.25171865236455E-4</v>
          </cell>
          <cell r="I120">
            <v>6.9464503497764204E-5</v>
          </cell>
          <cell r="J120"/>
          <cell r="K120"/>
        </row>
        <row r="121">
          <cell r="A121" t="str">
            <v>RHEM-SHLTHCHPWOD</v>
          </cell>
          <cell r="B121" t="str">
            <v>VAR_cap</v>
          </cell>
          <cell r="C121" t="str">
            <v>-</v>
          </cell>
          <cell r="D121"/>
          <cell r="E121"/>
          <cell r="F121"/>
          <cell r="G121">
            <v>1.47011171603473E-4</v>
          </cell>
          <cell r="H121">
            <v>3.4832947109042793E-4</v>
          </cell>
          <cell r="I121">
            <v>1.3072604271964098E-4</v>
          </cell>
          <cell r="J121"/>
          <cell r="K121"/>
        </row>
        <row r="122">
          <cell r="A122" t="str">
            <v>D-RHEM_LTH_CHPWOD</v>
          </cell>
          <cell r="B122" t="str">
            <v>VAR_fout</v>
          </cell>
          <cell r="C122" t="str">
            <v>RHEM_LTH_CHPWOD_ON</v>
          </cell>
          <cell r="D122">
            <v>6.5355837624982704E-6</v>
          </cell>
          <cell r="E122">
            <v>4.9718184462181218E-6</v>
          </cell>
          <cell r="F122">
            <v>1.5475392595603699E-6</v>
          </cell>
          <cell r="G122"/>
          <cell r="H122"/>
          <cell r="I122"/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RHSA_LTH</v>
          </cell>
          <cell r="D123">
            <v>8.5769846529516449E-6</v>
          </cell>
          <cell r="E123">
            <v>1.1546213740542371E-5</v>
          </cell>
          <cell r="F123">
            <v>4.5281978000729996E-6</v>
          </cell>
          <cell r="G123">
            <v>2.3078116780013147E-3</v>
          </cell>
          <cell r="H123">
            <v>5.834883980298293E-3</v>
          </cell>
          <cell r="I123">
            <v>1.3244171535130018E-3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LTH</v>
          </cell>
          <cell r="D124"/>
          <cell r="E124"/>
          <cell r="F124"/>
          <cell r="G124">
            <v>4.9564821648104744E-7</v>
          </cell>
          <cell r="H124">
            <v>7.1483151544102803E-6</v>
          </cell>
          <cell r="I124">
            <v>1.3806523326606921E-6</v>
          </cell>
          <cell r="J124"/>
          <cell r="K124"/>
        </row>
        <row r="125">
          <cell r="A125" t="str">
            <v>D-RHEM_LTH_CHPWOD</v>
          </cell>
          <cell r="B125" t="str">
            <v>VAR_fin</v>
          </cell>
          <cell r="C125" t="str">
            <v>RHEM_LTH_CHPWOD</v>
          </cell>
          <cell r="D125">
            <v>1.5112568415449926E-5</v>
          </cell>
          <cell r="E125">
            <v>1.6937607426159655E-5</v>
          </cell>
          <cell r="F125">
            <v>6.4606544661136553E-6</v>
          </cell>
          <cell r="G125">
            <v>2.3092868459492189E-3</v>
          </cell>
          <cell r="H125">
            <v>5.8421931194814888E-3</v>
          </cell>
          <cell r="I125">
            <v>1.3269625690440065E-3</v>
          </cell>
          <cell r="J125"/>
          <cell r="K125"/>
        </row>
        <row r="126">
          <cell r="A126" t="str">
            <v>RHES-SHLTHDH</v>
          </cell>
          <cell r="B126" t="str">
            <v>VAR_fout</v>
          </cell>
          <cell r="C126" t="str">
            <v>RHES-SHLTHD</v>
          </cell>
          <cell r="D126">
            <v>3.1525552198122782</v>
          </cell>
          <cell r="E126">
            <v>3.503799184210171</v>
          </cell>
          <cell r="F126">
            <v>1.5024139832565271</v>
          </cell>
          <cell r="G126">
            <v>2.0012311380161836</v>
          </cell>
          <cell r="H126">
            <v>2.2444566435565241</v>
          </cell>
          <cell r="I126">
            <v>2.1154172411524872</v>
          </cell>
          <cell r="J126"/>
          <cell r="K126"/>
        </row>
        <row r="127">
          <cell r="A127" t="str">
            <v>RHES-SHLTHDH</v>
          </cell>
          <cell r="B127" t="str">
            <v>VAR_fin</v>
          </cell>
          <cell r="C127" t="str">
            <v>RHESLTHDHC</v>
          </cell>
          <cell r="D127">
            <v>3.1525552198122782</v>
          </cell>
          <cell r="E127">
            <v>3.503799184210171</v>
          </cell>
          <cell r="F127">
            <v>1.5024139832565271</v>
          </cell>
          <cell r="G127">
            <v>2.0012311380161836</v>
          </cell>
          <cell r="H127">
            <v>2.2444566435565241</v>
          </cell>
          <cell r="I127">
            <v>2.1154172411524872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RHES_LTH_DH</v>
          </cell>
          <cell r="D128">
            <v>3.1843992119315927</v>
          </cell>
          <cell r="E128">
            <v>3.5391910951617893</v>
          </cell>
          <cell r="F128">
            <v>1.6872127275530093</v>
          </cell>
          <cell r="G128">
            <v>2.2393173330631595</v>
          </cell>
          <cell r="H128">
            <v>2.5091124512491345</v>
          </cell>
          <cell r="I128">
            <v>2.3543027511322725</v>
          </cell>
          <cell r="J128"/>
          <cell r="K128"/>
        </row>
        <row r="129">
          <cell r="A129" t="str">
            <v>RHES-SHLTHDH</v>
          </cell>
          <cell r="B129" t="str">
            <v>VAR_ncap</v>
          </cell>
          <cell r="C129" t="str">
            <v>-</v>
          </cell>
          <cell r="D129"/>
          <cell r="E129">
            <v>3.54713493396656E-2</v>
          </cell>
          <cell r="F129">
            <v>2.3371125678414002E-2</v>
          </cell>
          <cell r="G129">
            <v>3.9683798283949703E-2</v>
          </cell>
          <cell r="H129">
            <v>4.0727361349801199E-2</v>
          </cell>
          <cell r="I129">
            <v>2.8869310525793199E-2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VAR_cap</v>
          </cell>
          <cell r="C130" t="str">
            <v>-</v>
          </cell>
          <cell r="D130">
            <v>0.31204626794151202</v>
          </cell>
          <cell r="E130">
            <v>0.31421138384524783</v>
          </cell>
          <cell r="F130">
            <v>0.15201120986819563</v>
          </cell>
          <cell r="G130">
            <v>0.17521219901727231</v>
          </cell>
          <cell r="H130">
            <v>0.185594184618878</v>
          </cell>
          <cell r="I130">
            <v>0.17704628123979799</v>
          </cell>
          <cell r="J130"/>
          <cell r="K130"/>
        </row>
        <row r="131">
          <cell r="A131" t="str">
            <v>RHEM-SHCONBR3</v>
          </cell>
          <cell r="B131" t="str">
            <v>VAR_fout</v>
          </cell>
          <cell r="C131" t="str">
            <v>RHEM-SHCON</v>
          </cell>
          <cell r="D131">
            <v>4.3529570755462691E-3</v>
          </cell>
          <cell r="E131">
            <v>0.97660317363354776</v>
          </cell>
          <cell r="F131">
            <v>0.75028730682652423</v>
          </cell>
          <cell r="G131">
            <v>0.97649559399198638</v>
          </cell>
          <cell r="H131">
            <v>2.7611247823470308</v>
          </cell>
          <cell r="I131">
            <v>4.8425899488024546</v>
          </cell>
          <cell r="J131"/>
        </row>
        <row r="132">
          <cell r="A132" t="str">
            <v>RHEM-SHCONBR3</v>
          </cell>
          <cell r="B132" t="str">
            <v>VAR_fin</v>
          </cell>
          <cell r="C132" t="str">
            <v>CON</v>
          </cell>
          <cell r="D132">
            <v>4.3529570755462691E-3</v>
          </cell>
          <cell r="E132">
            <v>0.97660317363354776</v>
          </cell>
          <cell r="F132">
            <v>0.75028730682652423</v>
          </cell>
          <cell r="G132">
            <v>0.97649559399198638</v>
          </cell>
          <cell r="H132">
            <v>2.7611247823470308</v>
          </cell>
          <cell r="I132">
            <v>4.8425899488024546</v>
          </cell>
          <cell r="J132"/>
          <cell r="K132"/>
        </row>
        <row r="133">
          <cell r="A133" t="str">
            <v>RHEM-SHCONBR3</v>
          </cell>
          <cell r="B133" t="str">
            <v>VAR_ncap</v>
          </cell>
          <cell r="C133" t="str">
            <v>-</v>
          </cell>
          <cell r="D133">
            <v>3.4481371274038497E-2</v>
          </cell>
          <cell r="E133">
            <v>3.44813197052663E-2</v>
          </cell>
          <cell r="F133">
            <v>8.9938935046243206E-8</v>
          </cell>
          <cell r="G133">
            <v>1.8051048193856999E-7</v>
          </cell>
          <cell r="H133">
            <v>0.12602437323354601</v>
          </cell>
          <cell r="I133">
            <v>0.178705813899417</v>
          </cell>
          <cell r="J133"/>
        </row>
        <row r="134">
          <cell r="A134" t="str">
            <v>RHEM-SHCONBR3</v>
          </cell>
          <cell r="B134" t="str">
            <v>VAR_cap</v>
          </cell>
          <cell r="C134" t="str">
            <v>-</v>
          </cell>
          <cell r="D134">
            <v>3.4481371274038497E-2</v>
          </cell>
          <cell r="E134">
            <v>6.8962680314995334E-2</v>
          </cell>
          <cell r="F134">
            <v>6.8962515642593189E-2</v>
          </cell>
          <cell r="G134">
            <v>6.8962854521518652E-2</v>
          </cell>
          <cell r="H134">
            <v>0.19498795283870854</v>
          </cell>
          <cell r="I134">
            <v>0.34195747434947094</v>
          </cell>
          <cell r="J134"/>
          <cell r="K134"/>
        </row>
        <row r="135">
          <cell r="A135" t="str">
            <v>D-RHSA_ELC</v>
          </cell>
          <cell r="B135" t="str">
            <v>VAR_fout</v>
          </cell>
          <cell r="C135" t="str">
            <v>RHSA_ELC</v>
          </cell>
          <cell r="D135">
            <v>54.137282521934772</v>
          </cell>
          <cell r="E135">
            <v>55.017748519867851</v>
          </cell>
          <cell r="F135">
            <v>57.324180651091588</v>
          </cell>
          <cell r="G135">
            <v>67.658037028512467</v>
          </cell>
          <cell r="H135">
            <v>76.972541552989526</v>
          </cell>
          <cell r="I135">
            <v>76.61224780025826</v>
          </cell>
          <cell r="J135"/>
        </row>
        <row r="136">
          <cell r="A136" t="str">
            <v>D-RHSA_ELC</v>
          </cell>
          <cell r="B136" t="str">
            <v>VAR_fin</v>
          </cell>
          <cell r="C136" t="str">
            <v>RHNS_ELC</v>
          </cell>
          <cell r="D136">
            <v>12.519575142856027</v>
          </cell>
          <cell r="E136">
            <v>14.717582909115039</v>
          </cell>
          <cell r="F136">
            <v>14.707444975726887</v>
          </cell>
          <cell r="G136">
            <v>16.711103739498441</v>
          </cell>
          <cell r="H136">
            <v>18.360574777175785</v>
          </cell>
          <cell r="I136">
            <v>17.51234896781099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RHES_ELC</v>
          </cell>
          <cell r="D137">
            <v>15.505233721662606</v>
          </cell>
          <cell r="E137">
            <v>12.67420874112416</v>
          </cell>
          <cell r="F137">
            <v>13.461752877180535</v>
          </cell>
          <cell r="G137">
            <v>16.876489909084761</v>
          </cell>
          <cell r="H137">
            <v>19.479330942419789</v>
          </cell>
          <cell r="I137">
            <v>16.328924308456635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RHNM_ELC</v>
          </cell>
          <cell r="D138">
            <v>11.008903014351954</v>
          </cell>
          <cell r="E138">
            <v>14.695366013945714</v>
          </cell>
          <cell r="F138">
            <v>15.224430344420789</v>
          </cell>
          <cell r="G138">
            <v>17.874562101826985</v>
          </cell>
          <cell r="H138">
            <v>20.662672672242074</v>
          </cell>
          <cell r="I138">
            <v>22.414383116362174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RHEM_ELC</v>
          </cell>
          <cell r="D139">
            <v>15.103583953487759</v>
          </cell>
          <cell r="E139">
            <v>12.930600281321496</v>
          </cell>
          <cell r="F139">
            <v>13.930552453763372</v>
          </cell>
          <cell r="G139">
            <v>16.195881278102323</v>
          </cell>
          <cell r="H139">
            <v>18.469963161151934</v>
          </cell>
          <cell r="I139">
            <v>20.356591407628507</v>
          </cell>
          <cell r="J139"/>
          <cell r="K139"/>
        </row>
        <row r="140">
          <cell r="A140" t="str">
            <v>SCOM-SHLTHDH</v>
          </cell>
          <cell r="B140" t="str">
            <v>VAR_fout</v>
          </cell>
          <cell r="C140" t="str">
            <v>SCOM-SHLTHD</v>
          </cell>
          <cell r="D140">
            <v>5.5539028277101927</v>
          </cell>
          <cell r="E140">
            <v>6.0159372275659839</v>
          </cell>
          <cell r="F140">
            <v>4.8413445948101392</v>
          </cell>
          <cell r="G140">
            <v>6.1870254422191504</v>
          </cell>
          <cell r="H140">
            <v>7.2467849063955949</v>
          </cell>
          <cell r="I140">
            <v>7.0240106518889434</v>
          </cell>
          <cell r="J140"/>
        </row>
        <row r="141">
          <cell r="A141" t="str">
            <v>SCOM-SHLTHDH</v>
          </cell>
          <cell r="B141" t="str">
            <v>VAR_fin</v>
          </cell>
          <cell r="C141" t="str">
            <v>SCOMLTHDHC</v>
          </cell>
          <cell r="D141">
            <v>5.5539028277101927</v>
          </cell>
          <cell r="E141">
            <v>6.0159372275659839</v>
          </cell>
          <cell r="F141">
            <v>4.8413445948101392</v>
          </cell>
          <cell r="G141">
            <v>6.1870254422191504</v>
          </cell>
          <cell r="H141">
            <v>7.2467849063955949</v>
          </cell>
          <cell r="I141">
            <v>7.0240106518889434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SCOM_LTH_DH</v>
          </cell>
          <cell r="D142">
            <v>5.6100028562729252</v>
          </cell>
          <cell r="E142">
            <v>6.0767042702686709</v>
          </cell>
          <cell r="F142">
            <v>5.8897464898140068</v>
          </cell>
          <cell r="G142">
            <v>7.5206424466177531</v>
          </cell>
          <cell r="H142">
            <v>8.8088336919783856</v>
          </cell>
          <cell r="I142">
            <v>8.5380403147564774</v>
          </cell>
          <cell r="J142"/>
          <cell r="K142"/>
        </row>
        <row r="143">
          <cell r="A143" t="str">
            <v>SCOM-SHLTHDH</v>
          </cell>
          <cell r="B143" t="str">
            <v>VAR_ncap</v>
          </cell>
          <cell r="C143" t="str">
            <v>-</v>
          </cell>
          <cell r="D143">
            <v>2.5652195788114599E-8</v>
          </cell>
          <cell r="E143">
            <v>4.4024214963738401E-2</v>
          </cell>
          <cell r="F143">
            <v>4.47661922225892E-2</v>
          </cell>
          <cell r="G143">
            <v>0.122697963290334</v>
          </cell>
          <cell r="H143">
            <v>0.20235954170829201</v>
          </cell>
          <cell r="I143">
            <v>0.47860610078622101</v>
          </cell>
          <cell r="J143"/>
          <cell r="K143"/>
        </row>
        <row r="144">
          <cell r="A144" t="str">
            <v>SCOM-SHLTHDH</v>
          </cell>
          <cell r="B144" t="str">
            <v>VAR_cap</v>
          </cell>
          <cell r="C144" t="str">
            <v>-</v>
          </cell>
          <cell r="D144">
            <v>0.84970027858240083</v>
          </cell>
          <cell r="E144">
            <v>0.84951136345099076</v>
          </cell>
          <cell r="F144">
            <v>0.58283127999317741</v>
          </cell>
          <cell r="G144">
            <v>0.670851124372426</v>
          </cell>
          <cell r="H144">
            <v>0.84969915289126297</v>
          </cell>
          <cell r="I144">
            <v>0.84970124722349072</v>
          </cell>
          <cell r="J144"/>
          <cell r="K144"/>
        </row>
        <row r="145">
          <cell r="A145" t="str">
            <v>ITOT-SWHSTG-ELC</v>
          </cell>
          <cell r="B145" t="str">
            <v>VAR_fout</v>
          </cell>
          <cell r="C145" t="str">
            <v>ITOT-SWHAELC</v>
          </cell>
          <cell r="D145">
            <v>1.2845999461363613E-5</v>
          </cell>
          <cell r="E145">
            <v>1.2460348908661275E-5</v>
          </cell>
          <cell r="F145">
            <v>2.7586971202452296E-3</v>
          </cell>
          <cell r="G145">
            <v>0.27947792160517893</v>
          </cell>
          <cell r="H145">
            <v>0.75095975582772201</v>
          </cell>
          <cell r="I145">
            <v>1.671913843809979</v>
          </cell>
          <cell r="J145"/>
          <cell r="K145"/>
        </row>
        <row r="146">
          <cell r="A146" t="str">
            <v>ITOT-SWHSTG-ELC</v>
          </cell>
          <cell r="B146" t="str">
            <v>VAR_fin</v>
          </cell>
          <cell r="C146" t="str">
            <v>ITOT-SWHAELC</v>
          </cell>
          <cell r="D146">
            <v>1.2154139146917249E-5</v>
          </cell>
          <cell r="E146">
            <v>7.9089003794308564E-6</v>
          </cell>
          <cell r="F146">
            <v>3.6016780299988633E-3</v>
          </cell>
          <cell r="G146">
            <v>0.34941501126431401</v>
          </cell>
          <cell r="H146">
            <v>0.88355543273571935</v>
          </cell>
          <cell r="I146">
            <v>1.8577987242371792</v>
          </cell>
          <cell r="J146"/>
          <cell r="K146"/>
        </row>
        <row r="147">
          <cell r="A147" t="str">
            <v>ITOT-SWHSTG-ELC</v>
          </cell>
          <cell r="B147" t="str">
            <v>VAR_ncap</v>
          </cell>
          <cell r="C147" t="str">
            <v>-</v>
          </cell>
          <cell r="D147">
            <v>1.8876385137082099E-3</v>
          </cell>
          <cell r="E147">
            <v>0.15786248927478999</v>
          </cell>
          <cell r="F147">
            <v>3.5471215080995502E-2</v>
          </cell>
          <cell r="G147">
            <v>6.6881805753277096E-2</v>
          </cell>
          <cell r="H147">
            <v>0.15004667378650399</v>
          </cell>
          <cell r="I147">
            <v>0.15300576749852199</v>
          </cell>
          <cell r="J147"/>
          <cell r="K147"/>
        </row>
        <row r="148">
          <cell r="A148" t="str">
            <v>ITOT-SWHSTG-ELC</v>
          </cell>
          <cell r="B148" t="str">
            <v>VAR_cap</v>
          </cell>
          <cell r="C148" t="str">
            <v>-</v>
          </cell>
          <cell r="D148">
            <v>1.8876385137082099E-3</v>
          </cell>
          <cell r="E148">
            <v>0.15974732677503725</v>
          </cell>
          <cell r="F148">
            <v>0.19521724803328505</v>
          </cell>
          <cell r="G148">
            <v>0.26209853382118015</v>
          </cell>
          <cell r="H148">
            <v>0.26237722311112277</v>
          </cell>
          <cell r="I148">
            <v>0.2874325306687418</v>
          </cell>
          <cell r="J148"/>
          <cell r="K148"/>
        </row>
        <row r="149">
          <cell r="A149" t="str">
            <v>D-SCOM_SOLELC</v>
          </cell>
          <cell r="B149" t="str">
            <v>VAR_fout</v>
          </cell>
          <cell r="C149" t="str">
            <v>ELC5</v>
          </cell>
          <cell r="D149">
            <v>1.4902673683952652</v>
          </cell>
          <cell r="E149">
            <v>1.6544149245730946</v>
          </cell>
          <cell r="F149">
            <v>3.5300812112629023</v>
          </cell>
          <cell r="G149">
            <v>9.8534555008692344</v>
          </cell>
          <cell r="H149">
            <v>17.174378888224233</v>
          </cell>
          <cell r="I149">
            <v>18.492123919977484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SCOM_ELC</v>
          </cell>
          <cell r="D150">
            <v>1.3493563173767007</v>
          </cell>
          <cell r="E150">
            <v>1.640041162145877</v>
          </cell>
          <cell r="F150">
            <v>3.3023137230065926</v>
          </cell>
          <cell r="G150">
            <v>8.0488903641526424</v>
          </cell>
          <cell r="H150">
            <v>13.50420247562748</v>
          </cell>
          <cell r="I150">
            <v>18.771542751325452</v>
          </cell>
          <cell r="J150"/>
          <cell r="K150"/>
        </row>
        <row r="151">
          <cell r="A151" t="str">
            <v>D-SCOM_SOLELC</v>
          </cell>
          <cell r="B151" t="str">
            <v>VAR_fin</v>
          </cell>
          <cell r="C151" t="str">
            <v>SCOM_SOL_ELC</v>
          </cell>
          <cell r="D151">
            <v>2.8396236857719668</v>
          </cell>
          <cell r="E151">
            <v>3.2944551572076066</v>
          </cell>
          <cell r="F151">
            <v>6.8323924130458185</v>
          </cell>
          <cell r="G151">
            <v>17.90234288253108</v>
          </cell>
          <cell r="H151">
            <v>30.678577003155329</v>
          </cell>
          <cell r="I151">
            <v>37.263662064898242</v>
          </cell>
          <cell r="J151"/>
          <cell r="K151"/>
        </row>
        <row r="152">
          <cell r="A152" t="str">
            <v>D-ILFO</v>
          </cell>
          <cell r="B152" t="str">
            <v>VAR_fout</v>
          </cell>
          <cell r="C152" t="str">
            <v>CO2</v>
          </cell>
          <cell r="D152">
            <v>689.12808049041701</v>
          </cell>
          <cell r="E152">
            <v>648.131593050623</v>
          </cell>
          <cell r="F152">
            <v>595.69414204339796</v>
          </cell>
          <cell r="G152">
            <v>563.93192234722301</v>
          </cell>
          <cell r="H152">
            <v>236.13693504332599</v>
          </cell>
          <cell r="I152"/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ILFO</v>
          </cell>
          <cell r="D153">
            <v>9.1942854605091409</v>
          </cell>
          <cell r="E153">
            <v>8.6473139771654299</v>
          </cell>
          <cell r="F153">
            <v>7.9478624267604037</v>
          </cell>
          <cell r="G153">
            <v>7.5240845261774192</v>
          </cell>
          <cell r="H153">
            <v>3.4000122825606334</v>
          </cell>
          <cell r="I153">
            <v>0.24950130100090243</v>
          </cell>
          <cell r="J153"/>
        </row>
        <row r="154">
          <cell r="A154" t="str">
            <v>D-ILFO</v>
          </cell>
          <cell r="B154" t="str">
            <v>VAR_fin</v>
          </cell>
          <cell r="C154" t="str">
            <v>LFO</v>
          </cell>
          <cell r="D154">
            <v>9.3504488533299437</v>
          </cell>
          <cell r="E154">
            <v>8.7941871512974537</v>
          </cell>
          <cell r="F154">
            <v>8.0826884944830031</v>
          </cell>
          <cell r="G154">
            <v>7.6517221485376377</v>
          </cell>
          <cell r="H154">
            <v>3.2040289693802757</v>
          </cell>
          <cell r="I154"/>
          <cell r="J154"/>
        </row>
        <row r="155">
          <cell r="A155" t="str">
            <v>D-ILFO</v>
          </cell>
          <cell r="B155" t="str">
            <v>VAR_fin</v>
          </cell>
          <cell r="C155" t="str">
            <v>BDS</v>
          </cell>
          <cell r="D155"/>
          <cell r="E155"/>
          <cell r="F155">
            <v>1.6703941627519507E-4</v>
          </cell>
          <cell r="G155">
            <v>1.6807983908867356E-4</v>
          </cell>
          <cell r="H155">
            <v>0.25375364319288191</v>
          </cell>
          <cell r="I155">
            <v>0.25375303941518729</v>
          </cell>
          <cell r="J155"/>
        </row>
        <row r="156">
          <cell r="A156" t="str">
            <v>RHEM-SHSTG-NGAHP</v>
          </cell>
          <cell r="B156" t="str">
            <v>VAR_fout</v>
          </cell>
          <cell r="C156" t="str">
            <v>RHEM-SHANGAH</v>
          </cell>
          <cell r="D156"/>
          <cell r="E156"/>
          <cell r="F156">
            <v>6.8076253600959299E-3</v>
          </cell>
          <cell r="G156">
            <v>0.17594559614722002</v>
          </cell>
          <cell r="H156">
            <v>1.934101018432504E-2</v>
          </cell>
          <cell r="I156">
            <v>7.6783526943998356E-3</v>
          </cell>
          <cell r="J156"/>
          <cell r="K156"/>
        </row>
        <row r="157">
          <cell r="A157" t="str">
            <v>RHEM-SHSTG-NGAHP</v>
          </cell>
          <cell r="B157" t="str">
            <v>VAR_fin</v>
          </cell>
          <cell r="C157" t="str">
            <v>RHEM-SHANGAH</v>
          </cell>
          <cell r="D157"/>
          <cell r="E157"/>
          <cell r="F157">
            <v>6.8158208645164716E-3</v>
          </cell>
          <cell r="G157">
            <v>0.17595669244822773</v>
          </cell>
          <cell r="H157">
            <v>1.9344287915801697E-2</v>
          </cell>
          <cell r="I157">
            <v>7.6849115469780401E-3</v>
          </cell>
          <cell r="J157"/>
        </row>
        <row r="158">
          <cell r="A158" t="str">
            <v>RHEM-SHSTG-NGAHP</v>
          </cell>
          <cell r="B158" t="str">
            <v>VAR_ncap</v>
          </cell>
          <cell r="C158" t="str">
            <v>-</v>
          </cell>
          <cell r="D158">
            <v>1.9248623361875301E-5</v>
          </cell>
          <cell r="E158">
            <v>3.8246767766955797E-6</v>
          </cell>
          <cell r="F158">
            <v>3.8822039222338199E-2</v>
          </cell>
          <cell r="G158">
            <v>7.5383188495083506E-2</v>
          </cell>
          <cell r="H158">
            <v>8.3485228901998804E-2</v>
          </cell>
          <cell r="I158">
            <v>7.6488571872858305E-2</v>
          </cell>
          <cell r="J158"/>
        </row>
        <row r="159">
          <cell r="A159" t="str">
            <v>RHEM-SHSTG-NGAHP</v>
          </cell>
          <cell r="B159" t="str">
            <v>VAR_cap</v>
          </cell>
          <cell r="C159" t="str">
            <v>-</v>
          </cell>
          <cell r="D159">
            <v>1.9248623361875301E-5</v>
          </cell>
          <cell r="E159">
            <v>7.0294917888249987E-7</v>
          </cell>
          <cell r="F159">
            <v>3.8820041705966132E-2</v>
          </cell>
          <cell r="G159">
            <v>0.11419316528023815</v>
          </cell>
          <cell r="H159">
            <v>0.16719502697789443</v>
          </cell>
          <cell r="I159">
            <v>0.14777883247025875</v>
          </cell>
          <cell r="J159"/>
          <cell r="K159"/>
        </row>
        <row r="160">
          <cell r="A160" t="str">
            <v>RHEM-SHCONBR4</v>
          </cell>
          <cell r="B160" t="str">
            <v>VAR_fout</v>
          </cell>
          <cell r="C160" t="str">
            <v>RHEM-SHCON</v>
          </cell>
          <cell r="D160">
            <v>3.3324919213795576E-3</v>
          </cell>
          <cell r="E160">
            <v>0.77210035713164749</v>
          </cell>
          <cell r="F160">
            <v>0.57380019718832498</v>
          </cell>
          <cell r="G160">
            <v>0.77199523614959675</v>
          </cell>
          <cell r="H160">
            <v>0.77191530670830699</v>
          </cell>
          <cell r="I160">
            <v>0.90871621674312542</v>
          </cell>
          <cell r="J160"/>
          <cell r="K160"/>
        </row>
        <row r="161">
          <cell r="A161" t="str">
            <v>RHEM-SHCONBR4</v>
          </cell>
          <cell r="B161" t="str">
            <v>VAR_fin</v>
          </cell>
          <cell r="C161" t="str">
            <v>CON</v>
          </cell>
          <cell r="D161">
            <v>3.3324919213795576E-3</v>
          </cell>
          <cell r="E161">
            <v>0.77210035713164749</v>
          </cell>
          <cell r="F161">
            <v>0.57380019718832498</v>
          </cell>
          <cell r="G161">
            <v>0.77199523614959675</v>
          </cell>
          <cell r="H161">
            <v>0.77191530670830699</v>
          </cell>
          <cell r="I161">
            <v>0.90871621674312542</v>
          </cell>
          <cell r="J161"/>
          <cell r="K161"/>
        </row>
        <row r="162">
          <cell r="A162" t="str">
            <v>RHEM-SHCONBR4</v>
          </cell>
          <cell r="B162" t="str">
            <v>VAR_ncap</v>
          </cell>
          <cell r="C162" t="str">
            <v>-</v>
          </cell>
          <cell r="D162">
            <v>1.6606644752937199E-2</v>
          </cell>
          <cell r="E162">
            <v>3.7915322129365103E-2</v>
          </cell>
          <cell r="F162">
            <v>4.8858416797754397E-8</v>
          </cell>
          <cell r="G162">
            <v>8.03665356785163E-8</v>
          </cell>
          <cell r="H162">
            <v>1.9732374791538399E-7</v>
          </cell>
          <cell r="I162">
            <v>3.3924754806362201E-2</v>
          </cell>
          <cell r="J162"/>
        </row>
        <row r="163">
          <cell r="A163" t="str">
            <v>RHEM-SHCONBR4</v>
          </cell>
          <cell r="B163" t="str">
            <v>VAR_cap</v>
          </cell>
          <cell r="C163" t="str">
            <v>-</v>
          </cell>
          <cell r="D163">
            <v>1.6606644752937199E-2</v>
          </cell>
          <cell r="E163">
            <v>5.4521956327639516E-2</v>
          </cell>
          <cell r="F163">
            <v>5.4521755028821402E-2</v>
          </cell>
          <cell r="G163">
            <v>5.4521992793177043E-2</v>
          </cell>
          <cell r="H163">
            <v>5.4522210095686668E-2</v>
          </cell>
          <cell r="I163">
            <v>6.4172336955180792E-2</v>
          </cell>
          <cell r="J163"/>
        </row>
        <row r="164">
          <cell r="A164" t="str">
            <v>RHNM-SHCONBR</v>
          </cell>
          <cell r="B164" t="str">
            <v>VAR_fout</v>
          </cell>
          <cell r="C164" t="str">
            <v>RHNM-SHCON</v>
          </cell>
          <cell r="D164"/>
          <cell r="E164"/>
          <cell r="F164">
            <v>1.397807156142683E-3</v>
          </cell>
          <cell r="G164">
            <v>1.4065722473426108E-3</v>
          </cell>
          <cell r="H164">
            <v>4.7547539600334915E-3</v>
          </cell>
          <cell r="I164">
            <v>4.7369861372943802E-3</v>
          </cell>
          <cell r="J164"/>
          <cell r="K164"/>
        </row>
        <row r="165">
          <cell r="A165" t="str">
            <v>RHNM-SHCONBR</v>
          </cell>
          <cell r="B165" t="str">
            <v>VAR_fin</v>
          </cell>
          <cell r="C165" t="str">
            <v>CON</v>
          </cell>
          <cell r="D165"/>
          <cell r="E165"/>
          <cell r="F165">
            <v>1.397807156142683E-3</v>
          </cell>
          <cell r="G165">
            <v>1.4065722473426108E-3</v>
          </cell>
          <cell r="H165">
            <v>4.7547539600334915E-3</v>
          </cell>
          <cell r="I165">
            <v>4.7369861372943802E-3</v>
          </cell>
          <cell r="J165"/>
        </row>
        <row r="166">
          <cell r="A166" t="str">
            <v>RHNM-SHCONBR</v>
          </cell>
          <cell r="B166" t="str">
            <v>VAR_ncap</v>
          </cell>
          <cell r="C166" t="str">
            <v>-</v>
          </cell>
          <cell r="D166"/>
          <cell r="E166">
            <v>3.87873733743E-8</v>
          </cell>
          <cell r="F166">
            <v>1.12810225747975E-4</v>
          </cell>
          <cell r="G166">
            <v>2.4525791415889498E-7</v>
          </cell>
          <cell r="H166">
            <v>2.2458764589381599E-4</v>
          </cell>
          <cell r="I166">
            <v>6.2365486191868096E-8</v>
          </cell>
          <cell r="J166"/>
          <cell r="K166"/>
        </row>
        <row r="167">
          <cell r="A167" t="str">
            <v>RHNM-SHCONBR</v>
          </cell>
          <cell r="B167" t="str">
            <v>VAR_cap</v>
          </cell>
          <cell r="C167" t="str">
            <v>-</v>
          </cell>
          <cell r="D167"/>
          <cell r="E167">
            <v>3.87873733743E-8</v>
          </cell>
          <cell r="F167">
            <v>1.1282809857824536E-4</v>
          </cell>
          <cell r="G167">
            <v>1.1305402596968055E-4</v>
          </cell>
          <cell r="H167">
            <v>3.7157727857988941E-4</v>
          </cell>
          <cell r="I167">
            <v>3.7172172122905899E-4</v>
          </cell>
          <cell r="J167"/>
          <cell r="K167"/>
        </row>
        <row r="168">
          <cell r="A168" t="str">
            <v>RHEM-SHCONBR5</v>
          </cell>
          <cell r="B168" t="str">
            <v>VAR_fout</v>
          </cell>
          <cell r="C168" t="str">
            <v>RHEM-SHCON</v>
          </cell>
          <cell r="D168">
            <v>3.7408314580826199E-4</v>
          </cell>
          <cell r="E168">
            <v>1.7131812498368235E-2</v>
          </cell>
          <cell r="F168">
            <v>9.3811491831862319E-3</v>
          </cell>
          <cell r="G168">
            <v>1.703240946575816E-2</v>
          </cell>
          <cell r="H168">
            <v>1.695700184420033E-2</v>
          </cell>
          <cell r="I168">
            <v>9.8284119320198593E-3</v>
          </cell>
          <cell r="J168"/>
        </row>
        <row r="169">
          <cell r="A169" t="str">
            <v>RHEM-SHCONBR5</v>
          </cell>
          <cell r="B169" t="str">
            <v>VAR_fin</v>
          </cell>
          <cell r="C169" t="str">
            <v>CON</v>
          </cell>
          <cell r="D169">
            <v>3.7408314580826199E-4</v>
          </cell>
          <cell r="E169">
            <v>1.7131812498368235E-2</v>
          </cell>
          <cell r="F169">
            <v>9.3811491831862319E-3</v>
          </cell>
          <cell r="G169">
            <v>1.703240946575816E-2</v>
          </cell>
          <cell r="H169">
            <v>1.695700184420033E-2</v>
          </cell>
          <cell r="I169">
            <v>9.8284119320198593E-3</v>
          </cell>
          <cell r="J169"/>
          <cell r="K169"/>
        </row>
        <row r="170">
          <cell r="A170" t="str">
            <v>RHEM-SHCONBR5</v>
          </cell>
          <cell r="B170" t="str">
            <v>VAR_ncap</v>
          </cell>
          <cell r="C170" t="str">
            <v>-</v>
          </cell>
          <cell r="D170">
            <v>4.72940658647892E-5</v>
          </cell>
          <cell r="E170">
            <v>1.1635822961555901E-3</v>
          </cell>
          <cell r="F170">
            <v>4.7618500241056197E-8</v>
          </cell>
          <cell r="G170">
            <v>8.1853239521368795E-8</v>
          </cell>
          <cell r="H170">
            <v>2.3086341679076301E-7</v>
          </cell>
          <cell r="I170">
            <v>1.6324801978910099E-6</v>
          </cell>
          <cell r="J170"/>
        </row>
        <row r="171">
          <cell r="A171" t="str">
            <v>RHEM-SHCONBR5</v>
          </cell>
          <cell r="B171" t="str">
            <v>VAR_cap</v>
          </cell>
          <cell r="C171" t="str">
            <v>-</v>
          </cell>
          <cell r="D171">
            <v>4.72940658647892E-5</v>
          </cell>
          <cell r="E171">
            <v>1.2108660367740826E-3</v>
          </cell>
          <cell r="F171">
            <v>1.2106737313359506E-3</v>
          </cell>
          <cell r="G171">
            <v>1.2109063434045848E-3</v>
          </cell>
          <cell r="H171">
            <v>1.211152120276884E-3</v>
          </cell>
          <cell r="I171">
            <v>6.9842020820031522E-4</v>
          </cell>
          <cell r="J171"/>
        </row>
        <row r="172">
          <cell r="A172" t="str">
            <v>ITOT-SWHNGABR</v>
          </cell>
          <cell r="B172" t="str">
            <v>VAR_fout</v>
          </cell>
          <cell r="C172" t="str">
            <v>ITOT-SWH</v>
          </cell>
          <cell r="D172">
            <v>28.619770853635373</v>
          </cell>
          <cell r="E172">
            <v>25.424120850972859</v>
          </cell>
          <cell r="F172">
            <v>24.655051909440644</v>
          </cell>
          <cell r="G172">
            <v>7.8053751687493742</v>
          </cell>
          <cell r="H172">
            <v>3.7365416877567843</v>
          </cell>
          <cell r="I172">
            <v>1.0364259276385811E-3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CO2_I</v>
          </cell>
          <cell r="D173">
            <v>2005.1532879373201</v>
          </cell>
          <cell r="E173">
            <v>1779.7024434162199</v>
          </cell>
          <cell r="F173">
            <v>1723.60615085062</v>
          </cell>
          <cell r="G173">
            <v>544.47589127467802</v>
          </cell>
          <cell r="H173">
            <v>259.51734872617101</v>
          </cell>
          <cell r="I173">
            <v>7.1672854153670695E-2</v>
          </cell>
          <cell r="J173"/>
        </row>
        <row r="174">
          <cell r="A174" t="str">
            <v>ITOT-SWHNGABR</v>
          </cell>
          <cell r="B174" t="str">
            <v>VAR_fin</v>
          </cell>
          <cell r="C174" t="str">
            <v>INGA</v>
          </cell>
          <cell r="D174">
            <v>35.552363261300016</v>
          </cell>
          <cell r="E174">
            <v>31.555007861989655</v>
          </cell>
          <cell r="F174">
            <v>30.56039274557844</v>
          </cell>
          <cell r="G174">
            <v>9.6538278594800904</v>
          </cell>
          <cell r="H174">
            <v>4.6013714313150942</v>
          </cell>
          <cell r="I174">
            <v>1.2707952864126021E-3</v>
          </cell>
          <cell r="J174"/>
        </row>
        <row r="175">
          <cell r="A175" t="str">
            <v>ITOT-SWHNGABR</v>
          </cell>
          <cell r="B175" t="str">
            <v>VAR_ncap</v>
          </cell>
          <cell r="C175" t="str">
            <v>-</v>
          </cell>
          <cell r="D175"/>
          <cell r="E175">
            <v>4.3970810324747102E-5</v>
          </cell>
          <cell r="F175">
            <v>3.9074598362377901E-5</v>
          </cell>
          <cell r="G175">
            <v>3.2888633250667399E-5</v>
          </cell>
          <cell r="H175">
            <v>5.4942175482555099E-5</v>
          </cell>
          <cell r="I175">
            <v>1.5353135898210101E-5</v>
          </cell>
          <cell r="J175"/>
        </row>
        <row r="176">
          <cell r="A176" t="str">
            <v>ITOT-SWHNGABR</v>
          </cell>
          <cell r="B176" t="str">
            <v>VAR_cap</v>
          </cell>
          <cell r="C176" t="str">
            <v>-</v>
          </cell>
          <cell r="D176">
            <v>1.556581895256</v>
          </cell>
          <cell r="E176">
            <v>1.5564196457613835</v>
          </cell>
          <cell r="F176">
            <v>1.5558029172256398</v>
          </cell>
          <cell r="G176">
            <v>0.50356098900412793</v>
          </cell>
          <cell r="H176">
            <v>0.24284408040556846</v>
          </cell>
          <cell r="I176">
            <v>9.7853243924000965E-5</v>
          </cell>
          <cell r="J176"/>
        </row>
        <row r="177">
          <cell r="A177" t="str">
            <v>RHNM-SHSOLBR</v>
          </cell>
          <cell r="B177" t="str">
            <v>VAR_fout</v>
          </cell>
          <cell r="C177" t="str">
            <v>RHNM-SHASOL</v>
          </cell>
          <cell r="D177"/>
          <cell r="E177">
            <v>2.1539012054608377E-2</v>
          </cell>
          <cell r="F177">
            <v>1.5460795548477529E-5</v>
          </cell>
          <cell r="G177">
            <v>5.1397189873443495E-5</v>
          </cell>
          <cell r="H177">
            <v>6.0300459974703721E-5</v>
          </cell>
          <cell r="I177">
            <v>1.264569939647375E-4</v>
          </cell>
          <cell r="J177"/>
        </row>
        <row r="178">
          <cell r="A178" t="str">
            <v>RHNM-SHSOLBR</v>
          </cell>
          <cell r="B178" t="str">
            <v>VAR_fin</v>
          </cell>
          <cell r="C178" t="str">
            <v>SOL</v>
          </cell>
          <cell r="D178"/>
          <cell r="E178">
            <v>2.1539012054608377E-2</v>
          </cell>
          <cell r="F178">
            <v>1.5460795548477529E-5</v>
          </cell>
          <cell r="G178">
            <v>5.1397189873443495E-5</v>
          </cell>
          <cell r="H178">
            <v>6.0300459974703721E-5</v>
          </cell>
          <cell r="I178">
            <v>1.264569939647375E-4</v>
          </cell>
          <cell r="J178"/>
        </row>
        <row r="179">
          <cell r="A179" t="str">
            <v>RHNM-SHSOLBR</v>
          </cell>
          <cell r="B179" t="str">
            <v>VAR_ncap</v>
          </cell>
          <cell r="C179" t="str">
            <v>-</v>
          </cell>
          <cell r="D179"/>
          <cell r="E179">
            <v>3.1833571421461802E-3</v>
          </cell>
          <cell r="F179">
            <v>1.2981154888120901E-6</v>
          </cell>
          <cell r="G179">
            <v>1.9566819664382801E-6</v>
          </cell>
          <cell r="H179">
            <v>3.7103242715758598E-4</v>
          </cell>
          <cell r="I179">
            <v>1.10937354832319E-4</v>
          </cell>
          <cell r="J179"/>
        </row>
        <row r="180">
          <cell r="A180" t="str">
            <v>RHNM-SHSOLBR</v>
          </cell>
          <cell r="B180" t="str">
            <v>VAR_cap</v>
          </cell>
          <cell r="C180" t="str">
            <v>-</v>
          </cell>
          <cell r="D180"/>
          <cell r="E180">
            <v>3.1833571421461802E-3</v>
          </cell>
          <cell r="F180">
            <v>3.1801880177469853E-3</v>
          </cell>
          <cell r="G180">
            <v>3.1816474259843083E-3</v>
          </cell>
          <cell r="H180">
            <v>3.801189994864588E-4</v>
          </cell>
          <cell r="I180">
            <v>3.8283630134179224E-4</v>
          </cell>
          <cell r="J180"/>
          <cell r="K180"/>
          <cell r="L180"/>
        </row>
        <row r="181">
          <cell r="A181" t="str">
            <v>RHEM-SHPLTBR</v>
          </cell>
          <cell r="B181" t="str">
            <v>VAR_fout</v>
          </cell>
          <cell r="C181" t="str">
            <v>RHEM-SHPLT</v>
          </cell>
          <cell r="D181">
            <v>1.4011287346551806</v>
          </cell>
          <cell r="E181">
            <v>1.6077982312900452</v>
          </cell>
          <cell r="F181">
            <v>0.29315261950498717</v>
          </cell>
          <cell r="G181">
            <v>0.41570499274970879</v>
          </cell>
          <cell r="H181">
            <v>0.48537710620526914</v>
          </cell>
          <cell r="I181">
            <v>0.40025866858190579</v>
          </cell>
          <cell r="J181"/>
        </row>
        <row r="182">
          <cell r="A182" t="str">
            <v>RHEM-SHPLTBR</v>
          </cell>
          <cell r="B182" t="str">
            <v>VAR_fin</v>
          </cell>
          <cell r="C182" t="str">
            <v>RHEMPLTBRC</v>
          </cell>
          <cell r="D182">
            <v>1.4011287346551806</v>
          </cell>
          <cell r="E182">
            <v>1.6077982312900452</v>
          </cell>
          <cell r="F182">
            <v>0.29315261950498717</v>
          </cell>
          <cell r="G182">
            <v>0.41570499274970879</v>
          </cell>
          <cell r="H182">
            <v>0.48537710620526914</v>
          </cell>
          <cell r="I182">
            <v>0.40025866858190579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RPLT</v>
          </cell>
          <cell r="D183">
            <v>1.5568097051724235</v>
          </cell>
          <cell r="E183">
            <v>1.7864424792111626</v>
          </cell>
          <cell r="F183">
            <v>0.40125219323884126</v>
          </cell>
          <cell r="G183">
            <v>0.56450927314468313</v>
          </cell>
          <cell r="H183">
            <v>0.65643181531696027</v>
          </cell>
          <cell r="I183">
            <v>0.53286348639234082</v>
          </cell>
          <cell r="J183"/>
        </row>
        <row r="184">
          <cell r="A184" t="str">
            <v>RHEM-SHPLTBR</v>
          </cell>
          <cell r="B184" t="str">
            <v>VAR_ncap</v>
          </cell>
          <cell r="C184" t="str">
            <v>-</v>
          </cell>
          <cell r="D184">
            <v>5.9040387771519298E-5</v>
          </cell>
          <cell r="E184">
            <v>1.46598573786016E-2</v>
          </cell>
          <cell r="F184">
            <v>1.55211889413702E-7</v>
          </cell>
          <cell r="G184">
            <v>1.0594059784966801E-6</v>
          </cell>
          <cell r="H184">
            <v>1.84659429346196E-2</v>
          </cell>
          <cell r="I184">
            <v>8.2179742846161495E-3</v>
          </cell>
          <cell r="J184"/>
        </row>
        <row r="185">
          <cell r="A185" t="str">
            <v>RHEM-SHPLTBR</v>
          </cell>
          <cell r="B185" t="str">
            <v>VAR_cap</v>
          </cell>
          <cell r="C185" t="str">
            <v>-</v>
          </cell>
          <cell r="D185">
            <v>9.9758096508052119E-2</v>
          </cell>
          <cell r="E185">
            <v>0.11441789224143514</v>
          </cell>
          <cell r="F185">
            <v>4.5709003977346785E-2</v>
          </cell>
          <cell r="G185">
            <v>4.5708718554239303E-2</v>
          </cell>
          <cell r="H185">
            <v>3.4338814422469839E-2</v>
          </cell>
          <cell r="I185">
            <v>2.8333015916063943E-2</v>
          </cell>
          <cell r="J185"/>
        </row>
        <row r="186">
          <cell r="A186" t="str">
            <v>RHEM-SHCONBR6</v>
          </cell>
          <cell r="B186" t="str">
            <v>VAR_fout</v>
          </cell>
          <cell r="C186" t="str">
            <v>RHEM-SHCON</v>
          </cell>
          <cell r="D186"/>
          <cell r="E186">
            <v>7.6383716257002738E-4</v>
          </cell>
          <cell r="F186">
            <v>3.9518827380438692E-4</v>
          </cell>
          <cell r="G186">
            <v>6.925401300432179E-4</v>
          </cell>
          <cell r="H186">
            <v>6.5866878802994539E-4</v>
          </cell>
          <cell r="I186">
            <v>4.2240883355788519E-4</v>
          </cell>
          <cell r="J186"/>
          <cell r="K186"/>
        </row>
        <row r="187">
          <cell r="A187" t="str">
            <v>RHEM-SHCONBR6</v>
          </cell>
          <cell r="B187" t="str">
            <v>VAR_fin</v>
          </cell>
          <cell r="C187" t="str">
            <v>CON</v>
          </cell>
          <cell r="D187"/>
          <cell r="E187">
            <v>7.6383716257002738E-4</v>
          </cell>
          <cell r="F187">
            <v>3.9518827380438692E-4</v>
          </cell>
          <cell r="G187">
            <v>6.925401300432179E-4</v>
          </cell>
          <cell r="H187">
            <v>6.5866878802994539E-4</v>
          </cell>
          <cell r="I187">
            <v>4.2240883355788519E-4</v>
          </cell>
          <cell r="J187"/>
          <cell r="K187"/>
        </row>
        <row r="188">
          <cell r="A188" t="str">
            <v>RHEM-SHCONBR6</v>
          </cell>
          <cell r="B188" t="str">
            <v>VAR_ncap</v>
          </cell>
          <cell r="C188" t="str">
            <v>-</v>
          </cell>
          <cell r="D188"/>
          <cell r="E188">
            <v>5.4770309589427898E-5</v>
          </cell>
          <cell r="F188">
            <v>4.7768171543281797E-8</v>
          </cell>
          <cell r="G188">
            <v>6.7863927987544799E-8</v>
          </cell>
          <cell r="H188">
            <v>1.3446131282791199E-7</v>
          </cell>
          <cell r="I188">
            <v>1.0259600379855201E-6</v>
          </cell>
          <cell r="J188"/>
          <cell r="K188"/>
        </row>
        <row r="189">
          <cell r="A189" t="str">
            <v>RHEM-SHCONBR6</v>
          </cell>
          <cell r="B189" t="str">
            <v>VAR_cap</v>
          </cell>
          <cell r="C189" t="str">
            <v>-</v>
          </cell>
          <cell r="D189"/>
          <cell r="E189">
            <v>5.4770309589427898E-5</v>
          </cell>
          <cell r="F189">
            <v>5.4751334868819663E-5</v>
          </cell>
          <cell r="G189">
            <v>5.4831947906340874E-5</v>
          </cell>
          <cell r="H189">
            <v>5.5036367315122864E-5</v>
          </cell>
          <cell r="I189">
            <v>3.3028726188525027E-5</v>
          </cell>
          <cell r="J189"/>
        </row>
        <row r="190">
          <cell r="A190" t="str">
            <v>RHEM-SHCONBR7</v>
          </cell>
          <cell r="B190" t="str">
            <v>VAR_fout</v>
          </cell>
          <cell r="C190" t="str">
            <v>RHEM-SHCON</v>
          </cell>
          <cell r="D190"/>
          <cell r="E190">
            <v>3.3295403916336271E-4</v>
          </cell>
          <cell r="F190">
            <v>1.7703348304255433E-4</v>
          </cell>
          <cell r="G190">
            <v>2.8133133099500512E-4</v>
          </cell>
          <cell r="H190">
            <v>2.6339309732610578E-4</v>
          </cell>
          <cell r="I190">
            <v>1.7562556941659826E-4</v>
          </cell>
          <cell r="J190"/>
        </row>
        <row r="191">
          <cell r="A191" t="str">
            <v>RHEM-SHCONBR7</v>
          </cell>
          <cell r="B191" t="str">
            <v>VAR_fin</v>
          </cell>
          <cell r="C191" t="str">
            <v>CON</v>
          </cell>
          <cell r="D191"/>
          <cell r="E191">
            <v>3.3295403916336271E-4</v>
          </cell>
          <cell r="F191">
            <v>1.7703348304255433E-4</v>
          </cell>
          <cell r="G191">
            <v>2.8133133099500512E-4</v>
          </cell>
          <cell r="H191">
            <v>2.6339309732610578E-4</v>
          </cell>
          <cell r="I191">
            <v>1.7562556941659826E-4</v>
          </cell>
          <cell r="J191"/>
          <cell r="K191"/>
        </row>
        <row r="192">
          <cell r="A192" t="str">
            <v>RHEM-SHCONBR7</v>
          </cell>
          <cell r="B192" t="str">
            <v>VAR_ncap</v>
          </cell>
          <cell r="C192" t="str">
            <v>-</v>
          </cell>
          <cell r="D192"/>
          <cell r="E192">
            <v>2.4080119257610301E-5</v>
          </cell>
          <cell r="F192">
            <v>4.7669786478676901E-8</v>
          </cell>
          <cell r="G192">
            <v>5.0864366063219001E-8</v>
          </cell>
          <cell r="H192">
            <v>1.03116341313908E-7</v>
          </cell>
          <cell r="I192">
            <v>4.9919080439565504E-7</v>
          </cell>
          <cell r="J192"/>
        </row>
        <row r="193">
          <cell r="A193" t="str">
            <v>RHEM-SHCONBR7</v>
          </cell>
          <cell r="B193" t="str">
            <v>VAR_cap</v>
          </cell>
          <cell r="C193" t="str">
            <v>-</v>
          </cell>
          <cell r="D193"/>
          <cell r="E193">
            <v>2.4080119257610301E-5</v>
          </cell>
          <cell r="F193">
            <v>2.4087670487069357E-5</v>
          </cell>
          <cell r="G193">
            <v>2.4134953961259091E-5</v>
          </cell>
          <cell r="H193">
            <v>2.4348167855261776E-5</v>
          </cell>
          <cell r="I193">
            <v>1.473751627073784E-5</v>
          </cell>
          <cell r="J193"/>
        </row>
        <row r="194">
          <cell r="A194" t="str">
            <v>RHEM-SHCONBR8</v>
          </cell>
          <cell r="B194" t="str">
            <v>VAR_fout</v>
          </cell>
          <cell r="C194" t="str">
            <v>RHEM-SHCON</v>
          </cell>
          <cell r="D194"/>
          <cell r="E194">
            <v>9.732154891582497E-5</v>
          </cell>
          <cell r="F194">
            <v>5.6912643381576341E-5</v>
          </cell>
          <cell r="G194">
            <v>7.2209183063171351E-5</v>
          </cell>
          <cell r="H194">
            <v>6.9583688036134944E-5</v>
          </cell>
          <cell r="I194">
            <v>4.7422161598371086E-5</v>
          </cell>
          <cell r="J194"/>
        </row>
        <row r="195">
          <cell r="A195" t="str">
            <v>RHEM-SHCONBR8</v>
          </cell>
          <cell r="B195" t="str">
            <v>VAR_fin</v>
          </cell>
          <cell r="C195" t="str">
            <v>CON</v>
          </cell>
          <cell r="D195"/>
          <cell r="E195">
            <v>9.732154891582497E-5</v>
          </cell>
          <cell r="F195">
            <v>5.6912643381576341E-5</v>
          </cell>
          <cell r="G195">
            <v>7.2209183063171351E-5</v>
          </cell>
          <cell r="H195">
            <v>6.9583688036134944E-5</v>
          </cell>
          <cell r="I195">
            <v>4.7422161598371086E-5</v>
          </cell>
          <cell r="J195"/>
        </row>
        <row r="196">
          <cell r="A196" t="str">
            <v>RHEM-SHCONBR8</v>
          </cell>
          <cell r="B196" t="str">
            <v>VAR_ncap</v>
          </cell>
          <cell r="C196" t="str">
            <v>-</v>
          </cell>
          <cell r="D196"/>
          <cell r="E196">
            <v>6.8446101544051798E-6</v>
          </cell>
          <cell r="F196">
            <v>4.8470700720236603E-8</v>
          </cell>
          <cell r="G196">
            <v>2.4174037677113599E-8</v>
          </cell>
          <cell r="H196">
            <v>6.1254280280392797E-8</v>
          </cell>
          <cell r="I196">
            <v>1.01557721720906E-7</v>
          </cell>
          <cell r="J196"/>
          <cell r="K196"/>
        </row>
        <row r="197">
          <cell r="A197" t="str">
            <v>RHEM-SHCONBR8</v>
          </cell>
          <cell r="B197" t="str">
            <v>VAR_cap</v>
          </cell>
          <cell r="C197" t="str">
            <v>-</v>
          </cell>
          <cell r="D197"/>
          <cell r="E197">
            <v>6.8446101544051798E-6</v>
          </cell>
          <cell r="F197">
            <v>6.8766967355379636E-6</v>
          </cell>
          <cell r="G197">
            <v>6.8926124192019785E-6</v>
          </cell>
          <cell r="H197">
            <v>7.0856286452708515E-6</v>
          </cell>
          <cell r="I197">
            <v>4.3311510264528578E-6</v>
          </cell>
          <cell r="J197"/>
          <cell r="K197"/>
        </row>
        <row r="198">
          <cell r="A198" t="str">
            <v>RHES-SHELCHP</v>
          </cell>
          <cell r="B198" t="str">
            <v>VAR_fout</v>
          </cell>
          <cell r="C198" t="str">
            <v>RHES-SHAELCH</v>
          </cell>
          <cell r="D198">
            <v>9.1578128566472792</v>
          </cell>
          <cell r="E198">
            <v>10.275909913712947</v>
          </cell>
          <cell r="F198">
            <v>19.483354288010187</v>
          </cell>
          <cell r="G198">
            <v>23.27333744523434</v>
          </cell>
          <cell r="H198">
            <v>26.981413818950813</v>
          </cell>
          <cell r="I198">
            <v>26.078136528528383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VAR_fin</v>
          </cell>
          <cell r="C199" t="str">
            <v>RHES_ELC</v>
          </cell>
          <cell r="D199">
            <v>2.861816477230763</v>
          </cell>
          <cell r="E199">
            <v>3.1585788346413546</v>
          </cell>
          <cell r="F199">
            <v>6.7381661391485892</v>
          </cell>
          <cell r="G199">
            <v>7.4154709390532956</v>
          </cell>
          <cell r="H199">
            <v>7.6126013836120769</v>
          </cell>
          <cell r="I199">
            <v>6.5225239685557357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RHESELCHPC</v>
          </cell>
          <cell r="D200">
            <v>9.1578128566472792</v>
          </cell>
          <cell r="E200">
            <v>10.275909913712947</v>
          </cell>
          <cell r="F200">
            <v>19.483354288010187</v>
          </cell>
          <cell r="G200">
            <v>23.27333744523434</v>
          </cell>
          <cell r="H200">
            <v>26.981413818950813</v>
          </cell>
          <cell r="I200">
            <v>26.078136528528383</v>
          </cell>
          <cell r="J200"/>
          <cell r="K200"/>
        </row>
        <row r="201">
          <cell r="A201" t="str">
            <v>RHES-SHELCHP</v>
          </cell>
          <cell r="B201" t="str">
            <v>VAR_ncap</v>
          </cell>
          <cell r="C201" t="str">
            <v>-</v>
          </cell>
          <cell r="D201">
            <v>1.2301287484942501E-7</v>
          </cell>
          <cell r="E201">
            <v>9.0329070269725004E-2</v>
          </cell>
          <cell r="F201">
            <v>0.74386605678628404</v>
          </cell>
          <cell r="G201">
            <v>0.30683263634143298</v>
          </cell>
          <cell r="H201">
            <v>1.10697203950802</v>
          </cell>
          <cell r="I201">
            <v>0.99401610760607495</v>
          </cell>
          <cell r="J201"/>
          <cell r="K201"/>
          <cell r="M201"/>
        </row>
        <row r="202">
          <cell r="A202" t="str">
            <v>RHES-SHELCHP</v>
          </cell>
          <cell r="B202" t="str">
            <v>VAR_cap</v>
          </cell>
          <cell r="C202" t="str">
            <v>-</v>
          </cell>
          <cell r="D202">
            <v>0.73983805093823984</v>
          </cell>
          <cell r="E202">
            <v>0.83016704208809489</v>
          </cell>
          <cell r="F202">
            <v>1.5740327906021114</v>
          </cell>
          <cell r="G202">
            <v>1.8808653958442916</v>
          </cell>
          <cell r="H202">
            <v>2.1797750960686373</v>
          </cell>
          <cell r="I202">
            <v>2.1067973224853853</v>
          </cell>
          <cell r="J202"/>
        </row>
        <row r="203">
          <cell r="A203" t="str">
            <v>RHSA-WHELCHP</v>
          </cell>
          <cell r="B203" t="str">
            <v>VAR_fout</v>
          </cell>
          <cell r="C203" t="str">
            <v>RHSA-WHAELCH</v>
          </cell>
          <cell r="D203">
            <v>3.2398975234062042</v>
          </cell>
          <cell r="E203">
            <v>3.6354599637624005</v>
          </cell>
          <cell r="F203">
            <v>4.7264750834391531</v>
          </cell>
          <cell r="G203">
            <v>7.1731200553310366</v>
          </cell>
          <cell r="H203">
            <v>12.249873198960216</v>
          </cell>
          <cell r="I203">
            <v>15.033614333462662</v>
          </cell>
          <cell r="J203"/>
        </row>
        <row r="204">
          <cell r="A204" t="str">
            <v>RHSA-WHELCHP</v>
          </cell>
          <cell r="B204" t="str">
            <v>VAR_fin</v>
          </cell>
          <cell r="C204" t="str">
            <v>RHSA_ELC</v>
          </cell>
          <cell r="D204">
            <v>1.1488998309951082</v>
          </cell>
          <cell r="E204">
            <v>1.2864331081961777</v>
          </cell>
          <cell r="F204">
            <v>2.489804049177073</v>
          </cell>
          <cell r="G204">
            <v>3.4043517540630699</v>
          </cell>
          <cell r="H204">
            <v>5.0228771890424486</v>
          </cell>
          <cell r="I204">
            <v>5.4820875261962287</v>
          </cell>
          <cell r="J204"/>
        </row>
        <row r="205">
          <cell r="A205" t="str">
            <v>RHSA-WHELCHP</v>
          </cell>
          <cell r="B205" t="str">
            <v>VAR_ncap</v>
          </cell>
          <cell r="C205" t="str">
            <v>-</v>
          </cell>
          <cell r="D205">
            <v>5.3641475871849699E-6</v>
          </cell>
          <cell r="E205">
            <v>3.3731086741760799E-2</v>
          </cell>
          <cell r="F205">
            <v>6.5878017424521901E-2</v>
          </cell>
          <cell r="G205">
            <v>0.165472199405055</v>
          </cell>
          <cell r="H205">
            <v>0.36899993192938502</v>
          </cell>
          <cell r="I205">
            <v>0.61405559414825095</v>
          </cell>
          <cell r="J205"/>
        </row>
        <row r="206">
          <cell r="A206" t="str">
            <v>RHSA-WHELCHP</v>
          </cell>
          <cell r="B206" t="str">
            <v>VAR_cap</v>
          </cell>
          <cell r="C206" t="str">
            <v>-</v>
          </cell>
          <cell r="D206">
            <v>0.21335802656682817</v>
          </cell>
          <cell r="E206">
            <v>0.24708883519179373</v>
          </cell>
          <cell r="F206">
            <v>0.31296663695844973</v>
          </cell>
          <cell r="G206">
            <v>0.47843871821476219</v>
          </cell>
          <cell r="H206">
            <v>0.83728529218433667</v>
          </cell>
          <cell r="I206">
            <v>1.027192927089831</v>
          </cell>
          <cell r="J206"/>
          <cell r="K206"/>
        </row>
        <row r="207">
          <cell r="A207" t="str">
            <v>D-ITOT_LTH_CHP</v>
          </cell>
          <cell r="B207" t="str">
            <v>VAR_fout</v>
          </cell>
          <cell r="C207" t="str">
            <v>ITOT_LTH_CHP_ON</v>
          </cell>
          <cell r="D207">
            <v>5.6086470727925253</v>
          </cell>
          <cell r="E207">
            <v>6.0095232654123327</v>
          </cell>
          <cell r="F207">
            <v>6.077615774962263</v>
          </cell>
          <cell r="G207">
            <v>7.7568973814293836</v>
          </cell>
          <cell r="H207">
            <v>8.0864606234970164</v>
          </cell>
          <cell r="I207">
            <v>14.421892615563381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LTH</v>
          </cell>
          <cell r="D208"/>
          <cell r="E208">
            <v>1.1013568973141631E-4</v>
          </cell>
          <cell r="F208">
            <v>1.6642684059512533E-3</v>
          </cell>
          <cell r="G208">
            <v>7.8432801561215942E-3</v>
          </cell>
          <cell r="H208">
            <v>1.4945214470204297E-3</v>
          </cell>
          <cell r="I208">
            <v>5.6925352857102336E-3</v>
          </cell>
          <cell r="J208"/>
          <cell r="K208"/>
        </row>
        <row r="209">
          <cell r="A209" t="str">
            <v>D-ITOT_LTH_CHP</v>
          </cell>
          <cell r="B209" t="str">
            <v>VAR_fin</v>
          </cell>
          <cell r="C209" t="str">
            <v>ITOT_LTH_CHP</v>
          </cell>
          <cell r="D209">
            <v>5.6086470727925253</v>
          </cell>
          <cell r="E209">
            <v>6.0096334011020689</v>
          </cell>
          <cell r="F209">
            <v>6.0792800433682093</v>
          </cell>
          <cell r="G209">
            <v>7.7647406615855035</v>
          </cell>
          <cell r="H209">
            <v>8.0879551449440346</v>
          </cell>
          <cell r="I209">
            <v>14.427585150849088</v>
          </cell>
          <cell r="J209"/>
        </row>
        <row r="210">
          <cell r="A210" t="str">
            <v>RHEM-SHCONBR9</v>
          </cell>
          <cell r="B210" t="str">
            <v>VAR_fout</v>
          </cell>
          <cell r="C210" t="str">
            <v>RHEM-SHCON</v>
          </cell>
          <cell r="D210"/>
          <cell r="E210">
            <v>3.1787789375591699E-5</v>
          </cell>
          <cell r="F210">
            <v>2.1816258551429445E-5</v>
          </cell>
          <cell r="G210">
            <v>2.1208152898138927E-5</v>
          </cell>
          <cell r="H210">
            <v>2.2763890999323633E-5</v>
          </cell>
          <cell r="I210">
            <v>1.5527618262489499E-5</v>
          </cell>
          <cell r="J210"/>
          <cell r="K210"/>
        </row>
        <row r="211">
          <cell r="A211" t="str">
            <v>RHEM-SHCONBR9</v>
          </cell>
          <cell r="B211" t="str">
            <v>VAR_fin</v>
          </cell>
          <cell r="C211" t="str">
            <v>CON</v>
          </cell>
          <cell r="D211"/>
          <cell r="E211">
            <v>3.1787789375591699E-5</v>
          </cell>
          <cell r="F211">
            <v>2.1816258551429445E-5</v>
          </cell>
          <cell r="G211">
            <v>2.1208152898138927E-5</v>
          </cell>
          <cell r="H211">
            <v>2.2763890999323633E-5</v>
          </cell>
          <cell r="I211">
            <v>1.5527618262489499E-5</v>
          </cell>
          <cell r="J211"/>
          <cell r="K211"/>
        </row>
        <row r="212">
          <cell r="A212" t="str">
            <v>RHEM-SHCONBR9</v>
          </cell>
          <cell r="B212" t="str">
            <v>VAR_ncap</v>
          </cell>
          <cell r="C212" t="str">
            <v>-</v>
          </cell>
          <cell r="D212"/>
          <cell r="E212">
            <v>1.62839141597302E-6</v>
          </cell>
          <cell r="F212">
            <v>4.7136393859660603E-8</v>
          </cell>
          <cell r="G212">
            <v>1.44182336353022E-8</v>
          </cell>
          <cell r="H212">
            <v>3.5888283628374599E-8</v>
          </cell>
          <cell r="I212">
            <v>3.7209529652550403E-8</v>
          </cell>
          <cell r="J212"/>
          <cell r="K212"/>
        </row>
        <row r="213">
          <cell r="A213" t="str">
            <v>RHEM-SHCONBR9</v>
          </cell>
          <cell r="B213" t="str">
            <v>VAR_cap</v>
          </cell>
          <cell r="C213" t="str">
            <v>-</v>
          </cell>
          <cell r="D213"/>
          <cell r="E213">
            <v>1.62839141597302E-6</v>
          </cell>
          <cell r="F213">
            <v>1.67552780983268E-6</v>
          </cell>
          <cell r="G213">
            <v>1.6899460434679799E-6</v>
          </cell>
          <cell r="H213">
            <v>1.8577968771299601E-6</v>
          </cell>
          <cell r="I213">
            <v>1.19841448024989E-6</v>
          </cell>
          <cell r="J213"/>
        </row>
        <row r="214">
          <cell r="A214" t="str">
            <v>SCOM-SHELCHP</v>
          </cell>
          <cell r="B214" t="str">
            <v>VAR_fout</v>
          </cell>
          <cell r="C214" t="str">
            <v>SCOM-SHAELCH</v>
          </cell>
          <cell r="D214">
            <v>4.2612148592112895</v>
          </cell>
          <cell r="E214">
            <v>4.6176519420253834</v>
          </cell>
          <cell r="F214">
            <v>4.3748286267420902</v>
          </cell>
          <cell r="G214">
            <v>7.3491092704818737</v>
          </cell>
          <cell r="H214">
            <v>14.96843742172436</v>
          </cell>
          <cell r="I214">
            <v>17.812712624437616</v>
          </cell>
          <cell r="J214"/>
          <cell r="K214"/>
        </row>
        <row r="215">
          <cell r="A215" t="str">
            <v>SCOM-SHELCHP</v>
          </cell>
          <cell r="B215" t="str">
            <v>VAR_fin</v>
          </cell>
          <cell r="C215" t="str">
            <v>SCOMELCHPC</v>
          </cell>
          <cell r="D215">
            <v>4.2612148592112895</v>
          </cell>
          <cell r="E215">
            <v>4.6176519420253834</v>
          </cell>
          <cell r="F215">
            <v>4.3748286267420902</v>
          </cell>
          <cell r="G215">
            <v>7.3491092704818737</v>
          </cell>
          <cell r="H215">
            <v>14.96843742172436</v>
          </cell>
          <cell r="I215">
            <v>17.812712624437616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SCOM_ELC</v>
          </cell>
          <cell r="D216">
            <v>1.3316296435035277</v>
          </cell>
          <cell r="E216">
            <v>1.4252012166745007</v>
          </cell>
          <cell r="F216">
            <v>1.529715337309657</v>
          </cell>
          <cell r="G216">
            <v>2.3212478658110465</v>
          </cell>
          <cell r="H216">
            <v>4.1547131195709408</v>
          </cell>
          <cell r="I216">
            <v>4.5830183007719754</v>
          </cell>
          <cell r="J216"/>
        </row>
        <row r="217">
          <cell r="A217" t="str">
            <v>SCOM-SHELCHP</v>
          </cell>
          <cell r="B217" t="str">
            <v>VAR_ncap</v>
          </cell>
          <cell r="C217" t="str">
            <v>-</v>
          </cell>
          <cell r="D217">
            <v>4.3110973296254699E-7</v>
          </cell>
          <cell r="E217">
            <v>1.04877133763737E-6</v>
          </cell>
          <cell r="F217">
            <v>1.67097301328364E-6</v>
          </cell>
          <cell r="G217">
            <v>0.13774568978865601</v>
          </cell>
          <cell r="H217">
            <v>0.49128159715444503</v>
          </cell>
          <cell r="I217">
            <v>0.77856237435236697</v>
          </cell>
          <cell r="J217"/>
          <cell r="K217"/>
        </row>
        <row r="218">
          <cell r="A218" t="str">
            <v>SCOM-SHELCHP</v>
          </cell>
          <cell r="B218" t="str">
            <v>VAR_cap</v>
          </cell>
          <cell r="C218" t="str">
            <v>-</v>
          </cell>
          <cell r="D218">
            <v>0.43061774456352098</v>
          </cell>
          <cell r="E218">
            <v>0.43061819748620728</v>
          </cell>
          <cell r="F218">
            <v>0.43061945331611839</v>
          </cell>
          <cell r="G218">
            <v>0.5683653483919856</v>
          </cell>
          <cell r="H218">
            <v>1.1570946818355132</v>
          </cell>
          <cell r="I218">
            <v>1.3769424016757674</v>
          </cell>
          <cell r="J218"/>
        </row>
        <row r="219">
          <cell r="A219" t="str">
            <v>D-ITOT_NKEV_OIL_ELC_CHP</v>
          </cell>
          <cell r="B219" t="str">
            <v>VAR_fout</v>
          </cell>
          <cell r="C219" t="str">
            <v>ITOT_ELC</v>
          </cell>
          <cell r="D219">
            <v>7.6379940165120135E-4</v>
          </cell>
          <cell r="E219">
            <v>0.16917370788213004</v>
          </cell>
          <cell r="F219">
            <v>3.0229364193407253E-3</v>
          </cell>
          <cell r="G219">
            <v>0.16730934878227019</v>
          </cell>
          <cell r="H219">
            <v>1.6879173831600786E-2</v>
          </cell>
          <cell r="I219">
            <v>2.4298303491305753E-4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ELC5</v>
          </cell>
          <cell r="D220">
            <v>6.9738312245580622E-2</v>
          </cell>
          <cell r="E220">
            <v>2.1218874757357301E-3</v>
          </cell>
          <cell r="F220">
            <v>5.331464199882039E-4</v>
          </cell>
          <cell r="G220">
            <v>2.0514069331909698E-3</v>
          </cell>
          <cell r="H220">
            <v>1.5705163273277355E-3</v>
          </cell>
          <cell r="I220">
            <v>2.1319697273930617E-4</v>
          </cell>
          <cell r="J220"/>
        </row>
        <row r="221">
          <cell r="A221" t="str">
            <v>D-ITOT_NKEV_OIL_ELC_CHP</v>
          </cell>
          <cell r="B221" t="str">
            <v>VAR_fin</v>
          </cell>
          <cell r="C221" t="str">
            <v>ITOT_NKEV_OIL_ELC_CHP</v>
          </cell>
          <cell r="D221">
            <v>7.0502111647231858E-2</v>
          </cell>
          <cell r="E221">
            <v>0.17129559535786562</v>
          </cell>
          <cell r="F221">
            <v>3.5500660924518445E-3</v>
          </cell>
          <cell r="G221">
            <v>0.16935560966217936</v>
          </cell>
          <cell r="H221">
            <v>1.8445457209836109E-2</v>
          </cell>
          <cell r="I221">
            <v>4.5379078204022769E-4</v>
          </cell>
          <cell r="J221"/>
        </row>
        <row r="222">
          <cell r="A222" t="str">
            <v>RHSA-WHCONBR1</v>
          </cell>
          <cell r="B222" t="str">
            <v>VAR_ncap</v>
          </cell>
          <cell r="C222" t="str">
            <v>-</v>
          </cell>
          <cell r="D222"/>
          <cell r="E222"/>
          <cell r="F222">
            <v>375</v>
          </cell>
          <cell r="G222">
            <v>7.50195762065316</v>
          </cell>
          <cell r="H222"/>
          <cell r="I222"/>
          <cell r="J222"/>
          <cell r="K222"/>
        </row>
        <row r="223">
          <cell r="A223" t="str">
            <v>RHSA-WHCONBR1</v>
          </cell>
          <cell r="B223" t="str">
            <v>VAR_cap</v>
          </cell>
          <cell r="C223" t="str">
            <v>-</v>
          </cell>
          <cell r="D223"/>
          <cell r="E223"/>
          <cell r="F223">
            <v>375</v>
          </cell>
          <cell r="G223">
            <v>18.511940608722</v>
          </cell>
          <cell r="H223">
            <v>10.008077518280004</v>
          </cell>
          <cell r="I223">
            <v>4.4990689345879673</v>
          </cell>
          <cell r="J223"/>
          <cell r="K223"/>
        </row>
        <row r="224">
          <cell r="A224" t="str">
            <v>RHNS-SHELCBR</v>
          </cell>
          <cell r="B224" t="str">
            <v>VAR_fout</v>
          </cell>
          <cell r="C224" t="str">
            <v>RHNS-SHAELCB</v>
          </cell>
          <cell r="D224"/>
          <cell r="E224">
            <v>6.9061887061875063E-2</v>
          </cell>
          <cell r="F224">
            <v>2.3583149336313231E-3</v>
          </cell>
          <cell r="G224">
            <v>7.7195646390800345E-3</v>
          </cell>
          <cell r="H224">
            <v>8.4770259209745683E-3</v>
          </cell>
          <cell r="I224">
            <v>7.9553659689595383E-3</v>
          </cell>
          <cell r="J224"/>
        </row>
        <row r="225">
          <cell r="A225" t="str">
            <v>RHNS-SHELCBR</v>
          </cell>
          <cell r="B225" t="str">
            <v>VAR_fin</v>
          </cell>
          <cell r="C225" t="str">
            <v>RHNS_ELC</v>
          </cell>
          <cell r="D225"/>
          <cell r="E225">
            <v>7.2696723223026352E-2</v>
          </cell>
          <cell r="F225">
            <v>2.4824367722434959E-3</v>
          </cell>
          <cell r="G225">
            <v>8.1258575148210853E-3</v>
          </cell>
          <cell r="H225">
            <v>8.9231851799732344E-3</v>
          </cell>
          <cell r="I225">
            <v>8.3740694410100458E-3</v>
          </cell>
          <cell r="J225"/>
        </row>
        <row r="226">
          <cell r="A226" t="str">
            <v>RHNS-SHELCBR</v>
          </cell>
          <cell r="B226" t="str">
            <v>VAR_ncap</v>
          </cell>
          <cell r="C226" t="str">
            <v>-</v>
          </cell>
          <cell r="D226"/>
          <cell r="E226">
            <v>5.1389043220160099E-3</v>
          </cell>
          <cell r="F226"/>
          <cell r="G226"/>
          <cell r="H226"/>
          <cell r="I226"/>
          <cell r="J226"/>
        </row>
        <row r="227">
          <cell r="A227" t="str">
            <v>RHNS-SHELCBR</v>
          </cell>
          <cell r="B227" t="str">
            <v>VAR_cap</v>
          </cell>
          <cell r="C227" t="str">
            <v>-</v>
          </cell>
          <cell r="D227"/>
          <cell r="E227">
            <v>5.1389043220160099E-3</v>
          </cell>
          <cell r="F227">
            <v>5.133260900940748E-3</v>
          </cell>
          <cell r="G227">
            <v>5.1257614437902532E-3</v>
          </cell>
          <cell r="H227">
            <v>1.5747589748206041E-3</v>
          </cell>
          <cell r="I227">
            <v>6.6585098218702394E-4</v>
          </cell>
          <cell r="J227"/>
          <cell r="K227"/>
        </row>
        <row r="228">
          <cell r="A228" t="str">
            <v>RHSA-WHCONBR2</v>
          </cell>
          <cell r="B228" t="str">
            <v>VAR_ncap</v>
          </cell>
          <cell r="C228" t="str">
            <v>-</v>
          </cell>
          <cell r="D228"/>
          <cell r="E228"/>
          <cell r="F228">
            <v>375</v>
          </cell>
          <cell r="G228">
            <v>7.50195762065339</v>
          </cell>
          <cell r="H228"/>
          <cell r="I228"/>
          <cell r="J228"/>
          <cell r="K228"/>
        </row>
        <row r="229">
          <cell r="A229" t="str">
            <v>RHSA-WHCONBR2</v>
          </cell>
          <cell r="B229" t="str">
            <v>VAR_cap</v>
          </cell>
          <cell r="C229" t="str">
            <v>-</v>
          </cell>
          <cell r="D229"/>
          <cell r="E229"/>
          <cell r="F229">
            <v>375</v>
          </cell>
          <cell r="G229">
            <v>18.511940608722</v>
          </cell>
          <cell r="H229">
            <v>10.008077518281027</v>
          </cell>
          <cell r="I229">
            <v>4.499068934587001</v>
          </cell>
          <cell r="J229"/>
          <cell r="K229"/>
        </row>
        <row r="230">
          <cell r="A230" t="str">
            <v>ITOT-SWHSTG-SOL</v>
          </cell>
          <cell r="B230" t="str">
            <v>VAR_fout</v>
          </cell>
          <cell r="C230" t="str">
            <v>ITOT-SWHASOL</v>
          </cell>
          <cell r="D230">
            <v>3.9427493698323942E-5</v>
          </cell>
          <cell r="E230">
            <v>4.4355303330373702E-5</v>
          </cell>
          <cell r="F230">
            <v>1.231084087715588E-3</v>
          </cell>
          <cell r="G230">
            <v>1.949299467869148E-3</v>
          </cell>
          <cell r="H230">
            <v>3.428607690124077E-3</v>
          </cell>
          <cell r="I230">
            <v>1.4936401457024712E-3</v>
          </cell>
          <cell r="J230"/>
        </row>
        <row r="231">
          <cell r="A231" t="str">
            <v>ITOT-SWHSTG-SOL</v>
          </cell>
          <cell r="B231" t="str">
            <v>VAR_fin</v>
          </cell>
          <cell r="C231" t="str">
            <v>ITOT-SWHASOL</v>
          </cell>
          <cell r="D231">
            <v>4.0004082258127798E-5</v>
          </cell>
          <cell r="E231">
            <v>3.6949599314484285E-5</v>
          </cell>
          <cell r="F231">
            <v>1.5649256285591741E-3</v>
          </cell>
          <cell r="G231">
            <v>2.4150248678558943E-3</v>
          </cell>
          <cell r="H231">
            <v>4.0183801999877531E-3</v>
          </cell>
          <cell r="I231">
            <v>1.6493870553427425E-3</v>
          </cell>
          <cell r="J231"/>
        </row>
        <row r="232">
          <cell r="A232" t="str">
            <v>ITOT-SWHSTG-SOL</v>
          </cell>
          <cell r="B232" t="str">
            <v>VAR_ncap</v>
          </cell>
          <cell r="C232" t="str">
            <v>-</v>
          </cell>
          <cell r="D232">
            <v>1.07903567480914E-5</v>
          </cell>
          <cell r="E232">
            <v>1.5605901260267499E-8</v>
          </cell>
          <cell r="F232">
            <v>1.0416315931137299E-3</v>
          </cell>
          <cell r="G232">
            <v>1.6562681213033999E-4</v>
          </cell>
          <cell r="H232">
            <v>1.0973386247238801E-3</v>
          </cell>
          <cell r="I232">
            <v>3.9533480751905898E-7</v>
          </cell>
          <cell r="J232"/>
        </row>
        <row r="233">
          <cell r="A233" t="str">
            <v>ITOT-SWHSTG-SOL</v>
          </cell>
          <cell r="B233" t="str">
            <v>VAR_cap</v>
          </cell>
          <cell r="C233" t="str">
            <v>-</v>
          </cell>
          <cell r="D233">
            <v>1.07903567480914E-5</v>
          </cell>
          <cell r="E233">
            <v>1.0805962649351701E-5</v>
          </cell>
          <cell r="F233">
            <v>1.0524375557630799E-3</v>
          </cell>
          <cell r="G233">
            <v>1.21806436789342E-3</v>
          </cell>
          <cell r="H233">
            <v>3.6229228378067599E-3</v>
          </cell>
          <cell r="I233">
            <v>1.73918913015951E-3</v>
          </cell>
          <cell r="J233"/>
        </row>
        <row r="234">
          <cell r="A234" t="str">
            <v>RHES-SHLTHCHPNGA</v>
          </cell>
          <cell r="B234" t="str">
            <v>VAR_fout</v>
          </cell>
          <cell r="C234" t="str">
            <v>RHES-SHLTHC-NGA</v>
          </cell>
          <cell r="D234">
            <v>3.1816126232046153E-2</v>
          </cell>
          <cell r="E234">
            <v>4.0864648316686781E-3</v>
          </cell>
          <cell r="F234"/>
          <cell r="G234"/>
          <cell r="H234"/>
          <cell r="I234"/>
          <cell r="J234"/>
          <cell r="K234"/>
        </row>
        <row r="235">
          <cell r="A235" t="str">
            <v>RHES-SHLTHCHPNGA</v>
          </cell>
          <cell r="B235" t="str">
            <v>VAR_fin</v>
          </cell>
          <cell r="C235" t="str">
            <v>RHESLTHCHPC</v>
          </cell>
          <cell r="D235">
            <v>3.1816126232046153E-2</v>
          </cell>
          <cell r="E235">
            <v>4.0864648316686781E-3</v>
          </cell>
          <cell r="F235"/>
          <cell r="G235"/>
          <cell r="H235"/>
          <cell r="I235"/>
          <cell r="J235"/>
        </row>
        <row r="236">
          <cell r="A236" t="str">
            <v>RHES-SHLTHCHPNGA</v>
          </cell>
          <cell r="B236" t="str">
            <v>VAR_fin</v>
          </cell>
          <cell r="C236" t="str">
            <v>RHES_LTH_CHPNGA_ON</v>
          </cell>
          <cell r="D236">
            <v>3.2137501244491086E-2</v>
          </cell>
          <cell r="E236">
            <v>4.1277422542107846E-3</v>
          </cell>
          <cell r="F236"/>
          <cell r="G236"/>
          <cell r="H236"/>
          <cell r="I236"/>
          <cell r="J236"/>
          <cell r="K236"/>
        </row>
        <row r="237">
          <cell r="A237" t="str">
            <v>RHES-SHLTHCHPNGA</v>
          </cell>
          <cell r="B237" t="str">
            <v>VAR_ncap</v>
          </cell>
          <cell r="C237" t="str">
            <v>-</v>
          </cell>
          <cell r="D237"/>
          <cell r="E237">
            <v>3.2226661761528198E-4</v>
          </cell>
          <cell r="F237">
            <v>6.9817196415767799E-4</v>
          </cell>
          <cell r="G237">
            <v>2.08261420209964E-4</v>
          </cell>
          <cell r="H237">
            <v>1.4388326294253399E-4</v>
          </cell>
          <cell r="I237">
            <v>5.3377254907253102E-5</v>
          </cell>
          <cell r="J237"/>
          <cell r="K237"/>
        </row>
        <row r="238">
          <cell r="A238" t="str">
            <v>RHES-SHLTHCHPNGA</v>
          </cell>
          <cell r="B238" t="str">
            <v>VAR_cap</v>
          </cell>
          <cell r="C238" t="str">
            <v>-</v>
          </cell>
          <cell r="D238">
            <v>5.3757649990155603E-3</v>
          </cell>
          <cell r="E238">
            <v>5.5320349666989222E-4</v>
          </cell>
          <cell r="F238">
            <v>9.7325372490250986E-4</v>
          </cell>
          <cell r="G238">
            <v>4.5846214125055008E-4</v>
          </cell>
          <cell r="H238">
            <v>2.5859663072431104E-4</v>
          </cell>
          <cell r="I238">
            <v>9.4624553018515009E-5</v>
          </cell>
          <cell r="J238"/>
          <cell r="K238"/>
        </row>
        <row r="239">
          <cell r="A239" t="str">
            <v>RHSA-WHSTG-ELC</v>
          </cell>
          <cell r="B239" t="str">
            <v>VAR_fout</v>
          </cell>
          <cell r="C239" t="str">
            <v>RHSA-WHAELCB</v>
          </cell>
          <cell r="D239">
            <v>3.5482266723743666E-7</v>
          </cell>
          <cell r="E239">
            <v>1.179284372035058E-6</v>
          </cell>
          <cell r="F239">
            <v>0.36599971656146146</v>
          </cell>
          <cell r="G239">
            <v>0.34604521326785215</v>
          </cell>
          <cell r="H239">
            <v>0.21194418531306303</v>
          </cell>
          <cell r="I239">
            <v>0.24631179908629217</v>
          </cell>
          <cell r="J239"/>
          <cell r="K239"/>
        </row>
        <row r="240">
          <cell r="A240" t="str">
            <v>RHSA-WHSTG-ELC</v>
          </cell>
          <cell r="B240" t="str">
            <v>VAR_fin</v>
          </cell>
          <cell r="C240" t="str">
            <v>RHSA-WHAELCB</v>
          </cell>
          <cell r="D240">
            <v>4.2856851493969922E-6</v>
          </cell>
          <cell r="E240">
            <v>2.5765456089510408E-7</v>
          </cell>
          <cell r="F240">
            <v>0.36600938321446685</v>
          </cell>
          <cell r="G240">
            <v>0.34605180376900363</v>
          </cell>
          <cell r="H240">
            <v>0.21194974800629748</v>
          </cell>
          <cell r="I240">
            <v>0.24631820821086678</v>
          </cell>
          <cell r="J240"/>
          <cell r="K240"/>
        </row>
        <row r="241">
          <cell r="A241" t="str">
            <v>RHSA-WHSTG-ELC</v>
          </cell>
          <cell r="B241" t="str">
            <v>VAR_ncap</v>
          </cell>
          <cell r="C241" t="str">
            <v>-</v>
          </cell>
          <cell r="D241">
            <v>9.4011791096300402E-3</v>
          </cell>
          <cell r="E241">
            <v>0.10162949829609801</v>
          </cell>
          <cell r="F241">
            <v>2.4214956642698301E-5</v>
          </cell>
          <cell r="G241">
            <v>2.61235160052263E-5</v>
          </cell>
          <cell r="H241">
            <v>3.0708520335734901E-2</v>
          </cell>
          <cell r="I241">
            <v>1.6391902277199E-2</v>
          </cell>
          <cell r="J241"/>
        </row>
        <row r="242">
          <cell r="A242" t="str">
            <v>RHSA-WHSTG-ELC</v>
          </cell>
          <cell r="B242" t="str">
            <v>VAR_cap</v>
          </cell>
          <cell r="C242" t="str">
            <v>-</v>
          </cell>
          <cell r="D242">
            <v>9.4020884785187622E-3</v>
          </cell>
          <cell r="E242">
            <v>0.11101211227094292</v>
          </cell>
          <cell r="F242">
            <v>7.5738287047681818E-2</v>
          </cell>
          <cell r="G242">
            <v>5.8763490792823621E-2</v>
          </cell>
          <cell r="H242">
            <v>3.1332654397801314E-2</v>
          </cell>
          <cell r="I242">
            <v>3.8898730236229875E-2</v>
          </cell>
          <cell r="J242"/>
          <cell r="K242"/>
        </row>
        <row r="243">
          <cell r="A243" t="str">
            <v>ITOT-SWHLFOBR</v>
          </cell>
          <cell r="B243" t="str">
            <v>VAR_fout</v>
          </cell>
          <cell r="C243" t="str">
            <v>ITOT-SWH</v>
          </cell>
          <cell r="D243">
            <v>6.9177066723989746</v>
          </cell>
          <cell r="E243">
            <v>6.1927130818240821</v>
          </cell>
          <cell r="F243">
            <v>6.1925319560196117</v>
          </cell>
          <cell r="G243">
            <v>5.3919733673763011</v>
          </cell>
          <cell r="H243">
            <v>2.6304712498871963</v>
          </cell>
          <cell r="I243">
            <v>0.19717295955483474</v>
          </cell>
          <cell r="J243"/>
          <cell r="K243"/>
        </row>
        <row r="244">
          <cell r="A244" t="str">
            <v>ITOT-SWHLFOBR</v>
          </cell>
          <cell r="B244" t="str">
            <v>VAR_fout</v>
          </cell>
          <cell r="C244" t="str">
            <v>CO2_I</v>
          </cell>
          <cell r="D244">
            <v>655.768249811087</v>
          </cell>
          <cell r="E244">
            <v>586.09387347270604</v>
          </cell>
          <cell r="F244">
            <v>584.66025576990899</v>
          </cell>
          <cell r="G244">
            <v>507.03410681214598</v>
          </cell>
          <cell r="H244">
            <v>245.387338618695</v>
          </cell>
          <cell r="I244">
            <v>18.248308751758898</v>
          </cell>
          <cell r="J244"/>
          <cell r="K244"/>
        </row>
        <row r="245">
          <cell r="A245" t="str">
            <v>ITOT-SWHLFOBR</v>
          </cell>
          <cell r="B245" t="str">
            <v>VAR_fin</v>
          </cell>
          <cell r="C245" t="str">
            <v>ILFO</v>
          </cell>
          <cell r="D245">
            <v>8.8978052891599297</v>
          </cell>
          <cell r="E245">
            <v>7.9524270484763369</v>
          </cell>
          <cell r="F245">
            <v>7.9329749765252258</v>
          </cell>
          <cell r="G245">
            <v>6.8797029418201605</v>
          </cell>
          <cell r="H245">
            <v>3.329543264839828</v>
          </cell>
          <cell r="I245">
            <v>0.2476025610822101</v>
          </cell>
          <cell r="J245"/>
        </row>
        <row r="246">
          <cell r="A246" t="str">
            <v>ITOT-SWHLFOBR</v>
          </cell>
          <cell r="B246" t="str">
            <v>VAR_ncap</v>
          </cell>
          <cell r="C246" t="str">
            <v>-</v>
          </cell>
          <cell r="D246"/>
          <cell r="E246">
            <v>9.6474557265759496E-5</v>
          </cell>
          <cell r="F246">
            <v>6.4181303450092501E-5</v>
          </cell>
          <cell r="G246">
            <v>4.5406271812885302E-5</v>
          </cell>
          <cell r="H246">
            <v>1.13936571522691E-2</v>
          </cell>
          <cell r="I246">
            <v>3.1052505879576998E-5</v>
          </cell>
          <cell r="J246"/>
          <cell r="K246"/>
        </row>
        <row r="247">
          <cell r="A247" t="str">
            <v>ITOT-SWHLFOBR</v>
          </cell>
          <cell r="B247" t="str">
            <v>VAR_cap</v>
          </cell>
          <cell r="C247" t="str">
            <v>-</v>
          </cell>
          <cell r="D247">
            <v>0.37633543963083199</v>
          </cell>
          <cell r="E247">
            <v>0.37640152974597435</v>
          </cell>
          <cell r="F247">
            <v>0.37633610941791962</v>
          </cell>
          <cell r="G247">
            <v>0.35473465387527131</v>
          </cell>
          <cell r="H247">
            <v>0.18945018457866503</v>
          </cell>
          <cell r="I247">
            <v>1.46222448597359E-2</v>
          </cell>
          <cell r="J247"/>
          <cell r="K247"/>
        </row>
        <row r="248">
          <cell r="A248" t="str">
            <v>D-SCOM_LTH_CHPNGA</v>
          </cell>
          <cell r="B248" t="str">
            <v>VAR_fout</v>
          </cell>
          <cell r="C248" t="str">
            <v>LTH</v>
          </cell>
          <cell r="D248"/>
          <cell r="E248">
            <v>1.8828815775478988E-5</v>
          </cell>
          <cell r="F248"/>
          <cell r="G248"/>
          <cell r="H248"/>
          <cell r="I248"/>
          <cell r="J248"/>
        </row>
        <row r="249">
          <cell r="A249" t="str">
            <v>D-SCOM_LTH_CHPNGA</v>
          </cell>
          <cell r="B249" t="str">
            <v>VAR_fout</v>
          </cell>
          <cell r="C249" t="str">
            <v>SCOM_LTH_CHPNGA_ON</v>
          </cell>
          <cell r="D249">
            <v>0.69257698938431544</v>
          </cell>
          <cell r="E249">
            <v>0.75019333525140464</v>
          </cell>
          <cell r="F249"/>
          <cell r="G249"/>
          <cell r="H249"/>
          <cell r="I249"/>
          <cell r="J249"/>
        </row>
        <row r="250">
          <cell r="A250" t="str">
            <v>D-SCOM_LTH_CHPNGA</v>
          </cell>
          <cell r="B250" t="str">
            <v>VAR_fin</v>
          </cell>
          <cell r="C250" t="str">
            <v>SCOM_LTH_CHPNGA</v>
          </cell>
          <cell r="D250">
            <v>0.69257698938431544</v>
          </cell>
          <cell r="E250">
            <v>0.75021216406718039</v>
          </cell>
          <cell r="F250"/>
          <cell r="G250"/>
          <cell r="H250"/>
          <cell r="I250"/>
          <cell r="J250"/>
        </row>
        <row r="251">
          <cell r="A251" t="str">
            <v>RHSA-WHCONBR3</v>
          </cell>
          <cell r="B251" t="str">
            <v>VAR_ncap</v>
          </cell>
          <cell r="C251" t="str">
            <v>-</v>
          </cell>
          <cell r="D251"/>
          <cell r="E251"/>
          <cell r="F251">
            <v>375</v>
          </cell>
          <cell r="G251">
            <v>7.50195762065316</v>
          </cell>
          <cell r="H251"/>
          <cell r="I251"/>
          <cell r="J251"/>
        </row>
        <row r="252">
          <cell r="A252" t="str">
            <v>RHSA-WHCONBR3</v>
          </cell>
          <cell r="B252" t="str">
            <v>VAR_cap</v>
          </cell>
          <cell r="C252" t="str">
            <v>-</v>
          </cell>
          <cell r="D252"/>
          <cell r="E252"/>
          <cell r="F252">
            <v>375</v>
          </cell>
          <cell r="G252">
            <v>18.511940608722</v>
          </cell>
          <cell r="H252">
            <v>10.008077518280004</v>
          </cell>
          <cell r="I252">
            <v>4.4990689345879673</v>
          </cell>
          <cell r="J252"/>
          <cell r="K252"/>
        </row>
        <row r="253">
          <cell r="A253" t="str">
            <v>D-IWOD</v>
          </cell>
          <cell r="B253" t="str">
            <v>VAR_fout</v>
          </cell>
          <cell r="C253" t="str">
            <v>IWOD</v>
          </cell>
          <cell r="D253">
            <v>9.8744354077291305</v>
          </cell>
          <cell r="E253">
            <v>12.369330900271169</v>
          </cell>
          <cell r="F253">
            <v>14.258135373003839</v>
          </cell>
          <cell r="G253">
            <v>14.428223216696066</v>
          </cell>
          <cell r="H253">
            <v>18.498909535813173</v>
          </cell>
          <cell r="I253">
            <v>24.016085016562052</v>
          </cell>
          <cell r="J253"/>
          <cell r="K253"/>
        </row>
        <row r="254">
          <cell r="A254" t="str">
            <v>D-IWOD</v>
          </cell>
          <cell r="B254" t="str">
            <v>VAR_fin</v>
          </cell>
          <cell r="C254" t="str">
            <v>WOD</v>
          </cell>
          <cell r="D254">
            <v>9.8744354077291305</v>
          </cell>
          <cell r="E254">
            <v>12.369330900271169</v>
          </cell>
          <cell r="F254">
            <v>14.258135373003839</v>
          </cell>
          <cell r="G254">
            <v>14.428223216696066</v>
          </cell>
          <cell r="H254">
            <v>18.498909535813173</v>
          </cell>
          <cell r="I254">
            <v>24.016085016562052</v>
          </cell>
          <cell r="J254"/>
          <cell r="K254"/>
        </row>
        <row r="255">
          <cell r="A255" t="str">
            <v>RHSA-WHCONBR4</v>
          </cell>
          <cell r="B255" t="str">
            <v>VAR_ncap</v>
          </cell>
          <cell r="C255" t="str">
            <v>-</v>
          </cell>
          <cell r="D255"/>
          <cell r="E255"/>
          <cell r="F255">
            <v>375</v>
          </cell>
          <cell r="G255">
            <v>7.50195762065339</v>
          </cell>
          <cell r="H255"/>
          <cell r="I255"/>
          <cell r="J255"/>
        </row>
        <row r="256">
          <cell r="A256" t="str">
            <v>RHSA-WHCONBR4</v>
          </cell>
          <cell r="B256" t="str">
            <v>VAR_cap</v>
          </cell>
          <cell r="C256" t="str">
            <v>-</v>
          </cell>
          <cell r="D256"/>
          <cell r="E256"/>
          <cell r="F256">
            <v>375</v>
          </cell>
          <cell r="G256">
            <v>18.511940608722</v>
          </cell>
          <cell r="H256">
            <v>10.008077518281027</v>
          </cell>
          <cell r="I256">
            <v>4.499068934587001</v>
          </cell>
          <cell r="J256"/>
        </row>
        <row r="257">
          <cell r="A257" t="str">
            <v>SCOM-ELCSPEC</v>
          </cell>
          <cell r="B257" t="str">
            <v>VAR_fout</v>
          </cell>
          <cell r="C257" t="str">
            <v>SCOM-ELS</v>
          </cell>
          <cell r="D257">
            <v>56.994774574912441</v>
          </cell>
          <cell r="E257">
            <v>58.701895143456724</v>
          </cell>
          <cell r="F257">
            <v>50.853440395504201</v>
          </cell>
          <cell r="G257">
            <v>44.454933644280104</v>
          </cell>
          <cell r="H257">
            <v>36.74045833471618</v>
          </cell>
          <cell r="I257">
            <v>30.419481663326589</v>
          </cell>
          <cell r="J257"/>
          <cell r="K257"/>
        </row>
        <row r="258">
          <cell r="A258" t="str">
            <v>SCOM-ELCSPEC</v>
          </cell>
          <cell r="B258" t="str">
            <v>VAR_fin</v>
          </cell>
          <cell r="C258" t="str">
            <v>SCOM_ELC</v>
          </cell>
          <cell r="D258">
            <v>56.994774574912441</v>
          </cell>
          <cell r="E258">
            <v>58.701895143456724</v>
          </cell>
          <cell r="F258">
            <v>50.853440395504201</v>
          </cell>
          <cell r="G258">
            <v>44.454933644280104</v>
          </cell>
          <cell r="H258">
            <v>36.74045833471618</v>
          </cell>
          <cell r="I258">
            <v>30.419481663326589</v>
          </cell>
          <cell r="J258"/>
        </row>
        <row r="259">
          <cell r="A259" t="str">
            <v>SCOM-ELCSPEC</v>
          </cell>
          <cell r="B259" t="str">
            <v>VAR_ncap</v>
          </cell>
          <cell r="C259" t="str">
            <v>-</v>
          </cell>
          <cell r="D259">
            <v>3.7254741975775598E-7</v>
          </cell>
          <cell r="E259">
            <v>2.9158340468819402E-6</v>
          </cell>
          <cell r="F259">
            <v>2.0365146696287302E-6</v>
          </cell>
          <cell r="G259">
            <v>1.63721927776224E-6</v>
          </cell>
          <cell r="H259">
            <v>2.0553723291019901E-6</v>
          </cell>
          <cell r="I259">
            <v>2.8703596903459401</v>
          </cell>
          <cell r="J259"/>
          <cell r="K259"/>
        </row>
        <row r="260">
          <cell r="A260" t="str">
            <v>SCOM-ELCSPEC</v>
          </cell>
          <cell r="B260" t="str">
            <v>VAR_cap</v>
          </cell>
          <cell r="C260" t="str">
            <v>-</v>
          </cell>
          <cell r="D260">
            <v>6.6055316409012796</v>
          </cell>
          <cell r="E260">
            <v>6.2047533879840566</v>
          </cell>
          <cell r="F260">
            <v>5.3751778552021365</v>
          </cell>
          <cell r="G260">
            <v>4.6988577547055241</v>
          </cell>
          <cell r="H260">
            <v>3.8834451601749702</v>
          </cell>
          <cell r="I260">
            <v>3.215318729290956</v>
          </cell>
          <cell r="J260"/>
          <cell r="K260"/>
        </row>
        <row r="261">
          <cell r="A261" t="str">
            <v>D-ITOT_KEV_WST_ELC_CHP</v>
          </cell>
          <cell r="B261" t="str">
            <v>VAR_fout</v>
          </cell>
          <cell r="C261" t="str">
            <v>ITOT_ELC</v>
          </cell>
          <cell r="D261">
            <v>4.6727034064935295E-4</v>
          </cell>
          <cell r="E261">
            <v>4.1292102579060545E-4</v>
          </cell>
          <cell r="F261">
            <v>7.8731370507244757E-4</v>
          </cell>
          <cell r="G261">
            <v>0.35248601610181013</v>
          </cell>
          <cell r="H261">
            <v>0.27005011229910902</v>
          </cell>
          <cell r="I261">
            <v>0.47278550116556434</v>
          </cell>
          <cell r="J261"/>
          <cell r="K261"/>
        </row>
        <row r="262">
          <cell r="A262" t="str">
            <v>D-ITOT_KEV_WST_ELC_CHP</v>
          </cell>
          <cell r="B262" t="str">
            <v>VAR_fout</v>
          </cell>
          <cell r="C262" t="str">
            <v>ELC5</v>
          </cell>
          <cell r="D262">
            <v>0.22957428437301472</v>
          </cell>
          <cell r="E262">
            <v>0.23946624550703982</v>
          </cell>
          <cell r="F262">
            <v>0.33592074677351097</v>
          </cell>
          <cell r="G262">
            <v>4.1990641885654998E-3</v>
          </cell>
          <cell r="H262">
            <v>3.8456771547402187E-2</v>
          </cell>
          <cell r="I262">
            <v>0.18043699505488103</v>
          </cell>
          <cell r="J262"/>
          <cell r="K262"/>
        </row>
        <row r="263">
          <cell r="A263" t="str">
            <v>D-ITOT_KEV_WST_ELC_CHP</v>
          </cell>
          <cell r="B263" t="str">
            <v>VAR_fin</v>
          </cell>
          <cell r="C263" t="str">
            <v>ITOT_KEV_WST_ELC_CHP</v>
          </cell>
          <cell r="D263">
            <v>0.23004155471366408</v>
          </cell>
          <cell r="E263">
            <v>0.23987916653283056</v>
          </cell>
          <cell r="F263">
            <v>0.33670624457386633</v>
          </cell>
          <cell r="G263">
            <v>0.35668222617679135</v>
          </cell>
          <cell r="H263">
            <v>0.30850688384651159</v>
          </cell>
          <cell r="I263">
            <v>0.65322249622044526</v>
          </cell>
          <cell r="J263"/>
        </row>
        <row r="264">
          <cell r="A264" t="str">
            <v>RHSA-WHCONBR5</v>
          </cell>
          <cell r="B264" t="str">
            <v>VAR_ncap</v>
          </cell>
          <cell r="C264" t="str">
            <v>-</v>
          </cell>
          <cell r="D264"/>
          <cell r="E264"/>
          <cell r="F264">
            <v>375</v>
          </cell>
          <cell r="G264">
            <v>7.50195762065316</v>
          </cell>
          <cell r="H264"/>
          <cell r="I264"/>
          <cell r="J264"/>
        </row>
        <row r="265">
          <cell r="A265" t="str">
            <v>RHSA-WHCONBR5</v>
          </cell>
          <cell r="B265" t="str">
            <v>VAR_cap</v>
          </cell>
          <cell r="C265" t="str">
            <v>-</v>
          </cell>
          <cell r="D265"/>
          <cell r="E265"/>
          <cell r="F265">
            <v>375</v>
          </cell>
          <cell r="G265">
            <v>18.511940608722</v>
          </cell>
          <cell r="H265">
            <v>10.008077518280004</v>
          </cell>
          <cell r="I265">
            <v>4.4990689345879673</v>
          </cell>
          <cell r="J265"/>
        </row>
        <row r="266">
          <cell r="A266" t="str">
            <v>D-RHNM_SOLELC</v>
          </cell>
          <cell r="B266" t="str">
            <v>VAR_fout</v>
          </cell>
          <cell r="C266" t="str">
            <v>ELC5</v>
          </cell>
          <cell r="D266"/>
          <cell r="E266">
            <v>1.9216703932926967E-5</v>
          </cell>
          <cell r="F266">
            <v>1.1210438496108581</v>
          </cell>
          <cell r="G266">
            <v>2.441352541349167</v>
          </cell>
          <cell r="H266">
            <v>3.9613549746001389</v>
          </cell>
          <cell r="I266">
            <v>6.3423265109340683</v>
          </cell>
          <cell r="J266"/>
        </row>
        <row r="267">
          <cell r="A267" t="str">
            <v>D-RHNM_SOLELC</v>
          </cell>
          <cell r="B267" t="str">
            <v>VAR_fout</v>
          </cell>
          <cell r="C267" t="str">
            <v>RHNM_ELC</v>
          </cell>
          <cell r="D267"/>
          <cell r="E267">
            <v>1.9259834847970004E-5</v>
          </cell>
          <cell r="F267">
            <v>0.96110823950591984</v>
          </cell>
          <cell r="G267">
            <v>2.1038019253126818</v>
          </cell>
          <cell r="H267">
            <v>3.9417739856038647</v>
          </cell>
          <cell r="I267">
            <v>7.4210094699047495</v>
          </cell>
          <cell r="J267"/>
        </row>
        <row r="268">
          <cell r="A268" t="str">
            <v>D-RHNM_SOLELC</v>
          </cell>
          <cell r="B268" t="str">
            <v>VAR_fin</v>
          </cell>
          <cell r="C268" t="str">
            <v>RHNM_SOL_ELC</v>
          </cell>
          <cell r="D268"/>
          <cell r="E268">
            <v>3.7646711190083101E-5</v>
          </cell>
          <cell r="F268">
            <v>2.08214956789304</v>
          </cell>
          <cell r="G268">
            <v>4.5451514841671212</v>
          </cell>
          <cell r="H268">
            <v>7.9031245059668791</v>
          </cell>
          <cell r="I268">
            <v>13.763331978741739</v>
          </cell>
          <cell r="J268"/>
        </row>
        <row r="269">
          <cell r="A269" t="str">
            <v>RHNM-SHSTG-ELCHP</v>
          </cell>
          <cell r="B269" t="str">
            <v>VAR_fout</v>
          </cell>
          <cell r="C269" t="str">
            <v>RHNM-SHAELCH</v>
          </cell>
          <cell r="D269"/>
          <cell r="E269">
            <v>1.4481697142327157E-5</v>
          </cell>
          <cell r="F269">
            <v>0.14598142370961001</v>
          </cell>
          <cell r="G269">
            <v>0.23013415601984277</v>
          </cell>
          <cell r="H269">
            <v>0.36835514042525991</v>
          </cell>
          <cell r="I269">
            <v>0.59750858649985694</v>
          </cell>
          <cell r="J269"/>
        </row>
        <row r="270">
          <cell r="A270" t="str">
            <v>RHNM-SHSTG-ELCHP</v>
          </cell>
          <cell r="B270" t="str">
            <v>VAR_fin</v>
          </cell>
          <cell r="C270" t="str">
            <v>RHNM-SHAELCH</v>
          </cell>
          <cell r="D270"/>
          <cell r="E270">
            <v>1.4063265925253506E-5</v>
          </cell>
          <cell r="F270">
            <v>0.14598769359060704</v>
          </cell>
          <cell r="G270">
            <v>0.23014316150757611</v>
          </cell>
          <cell r="H270">
            <v>0.36837503251841491</v>
          </cell>
          <cell r="I270">
            <v>0.59753260763258098</v>
          </cell>
          <cell r="J270"/>
          <cell r="K270"/>
        </row>
        <row r="271">
          <cell r="A271" t="str">
            <v>RHNM-SHSTG-ELCHP</v>
          </cell>
          <cell r="B271" t="str">
            <v>VAR_ncap</v>
          </cell>
          <cell r="C271" t="str">
            <v>-</v>
          </cell>
          <cell r="D271">
            <v>4.51419355651519E-5</v>
          </cell>
          <cell r="E271">
            <v>4.7218173718395301E-5</v>
          </cell>
          <cell r="F271">
            <v>1.49402283479879E-2</v>
          </cell>
          <cell r="G271">
            <v>8.4978616038617494E-3</v>
          </cell>
          <cell r="H271">
            <v>2.35526484599843E-2</v>
          </cell>
          <cell r="I271">
            <v>3.1964657138888602E-2</v>
          </cell>
          <cell r="J271"/>
          <cell r="K271"/>
        </row>
        <row r="272">
          <cell r="A272" t="str">
            <v>RHNM-SHSTG-ELCHP</v>
          </cell>
          <cell r="B272" t="str">
            <v>VAR_cap</v>
          </cell>
          <cell r="C272" t="str">
            <v>-</v>
          </cell>
          <cell r="D272">
            <v>4.51419355651519E-5</v>
          </cell>
          <cell r="E272">
            <v>8.1899175592308891E-5</v>
          </cell>
          <cell r="F272">
            <v>1.5003867979317133E-2</v>
          </cell>
          <cell r="G272">
            <v>2.3473854670732187E-2</v>
          </cell>
          <cell r="H272">
            <v>4.1178944087253741E-2</v>
          </cell>
          <cell r="I272">
            <v>5.2917920620579678E-2</v>
          </cell>
          <cell r="J272"/>
          <cell r="K272"/>
        </row>
        <row r="273">
          <cell r="A273" t="str">
            <v>D-SCOM_LTH</v>
          </cell>
          <cell r="B273" t="str">
            <v>VAR_fout</v>
          </cell>
          <cell r="C273" t="str">
            <v>SCOM_LTH_DH</v>
          </cell>
          <cell r="D273">
            <v>5.6100028562729252</v>
          </cell>
          <cell r="E273">
            <v>6.0767042702686709</v>
          </cell>
          <cell r="F273">
            <v>5.8897464898140068</v>
          </cell>
          <cell r="G273">
            <v>7.5206424466177531</v>
          </cell>
          <cell r="H273">
            <v>8.8088336919783856</v>
          </cell>
          <cell r="I273">
            <v>8.5380403147564774</v>
          </cell>
          <cell r="J273"/>
          <cell r="K273"/>
        </row>
        <row r="274">
          <cell r="A274" t="str">
            <v>D-SCOM_LTH</v>
          </cell>
          <cell r="B274" t="str">
            <v>VAR_fin</v>
          </cell>
          <cell r="C274" t="str">
            <v>LTH</v>
          </cell>
          <cell r="D274">
            <v>6.0987788388281094</v>
          </cell>
          <cell r="E274">
            <v>6.6044058125435932</v>
          </cell>
          <cell r="F274">
            <v>6.3986901220342833</v>
          </cell>
          <cell r="G274">
            <v>8.1651521065193311</v>
          </cell>
          <cell r="H274">
            <v>9.5512020552591732</v>
          </cell>
          <cell r="I274">
            <v>9.2454670122183185</v>
          </cell>
          <cell r="J274"/>
          <cell r="K274"/>
        </row>
        <row r="275">
          <cell r="A275" t="str">
            <v>D-SCOM_LTH</v>
          </cell>
          <cell r="B275" t="str">
            <v>VAR_ncap</v>
          </cell>
          <cell r="C275" t="str">
            <v>-</v>
          </cell>
          <cell r="D275">
            <v>0.84970027980833795</v>
          </cell>
          <cell r="E275">
            <v>8.3146980997907399E-8</v>
          </cell>
          <cell r="F275">
            <v>9.8409929129622299E-8</v>
          </cell>
          <cell r="G275">
            <v>1.1871048120285E-7</v>
          </cell>
          <cell r="H275">
            <v>2.9876229463129399E-7</v>
          </cell>
          <cell r="I275">
            <v>6.1252359024796295E-7</v>
          </cell>
          <cell r="J275"/>
          <cell r="K275"/>
        </row>
        <row r="276">
          <cell r="A276" t="str">
            <v>D-SCOM_LTH</v>
          </cell>
          <cell r="B276" t="str">
            <v>VAR_cap</v>
          </cell>
          <cell r="C276" t="str">
            <v>-</v>
          </cell>
          <cell r="D276">
            <v>0.84970027980833795</v>
          </cell>
          <cell r="E276">
            <v>0.84970036295531903</v>
          </cell>
          <cell r="F276">
            <v>0.84970046136524802</v>
          </cell>
          <cell r="G276">
            <v>0.84970058007573002</v>
          </cell>
          <cell r="H276">
            <v>0.84970108563883395</v>
          </cell>
          <cell r="I276">
            <v>0.84970169816242402</v>
          </cell>
          <cell r="J276"/>
          <cell r="K276"/>
        </row>
        <row r="277">
          <cell r="A277" t="str">
            <v>ITOT-SWHBIOBR</v>
          </cell>
          <cell r="B277" t="str">
            <v>VAR_fout</v>
          </cell>
          <cell r="C277" t="str">
            <v>ITOT-SWH</v>
          </cell>
          <cell r="D277">
            <v>0.310512635519616</v>
          </cell>
          <cell r="E277">
            <v>0.39251852635592699</v>
          </cell>
          <cell r="F277">
            <v>2.0099363625337863</v>
          </cell>
          <cell r="G277">
            <v>2.0099403011782204</v>
          </cell>
          <cell r="H277">
            <v>4.2991355323188127</v>
          </cell>
          <cell r="I277">
            <v>4.3535608964145958</v>
          </cell>
          <cell r="J277"/>
          <cell r="K277"/>
        </row>
        <row r="278">
          <cell r="A278" t="str">
            <v>ITOT-SWHBIOBR</v>
          </cell>
          <cell r="B278" t="str">
            <v>VAR_fin</v>
          </cell>
          <cell r="C278" t="str">
            <v>IBIO</v>
          </cell>
          <cell r="D278">
            <v>0.43672663223574698</v>
          </cell>
          <cell r="E278">
            <v>0.55206543791269702</v>
          </cell>
          <cell r="F278">
            <v>2.8269147152373924</v>
          </cell>
          <cell r="G278">
            <v>2.8269202548216881</v>
          </cell>
          <cell r="H278">
            <v>6.0466041242177466</v>
          </cell>
          <cell r="I278">
            <v>6.04661235613138</v>
          </cell>
          <cell r="J278"/>
        </row>
        <row r="279">
          <cell r="A279" t="str">
            <v>ITOT-SWHBIOBR</v>
          </cell>
          <cell r="B279" t="str">
            <v>VAR_ncap</v>
          </cell>
          <cell r="C279" t="str">
            <v>-</v>
          </cell>
          <cell r="D279"/>
          <cell r="E279">
            <v>2.3137968455356098E-2</v>
          </cell>
          <cell r="F279">
            <v>7.2626697455379502E-2</v>
          </cell>
          <cell r="G279">
            <v>3.5155394215968202E-3</v>
          </cell>
          <cell r="H279">
            <v>0.18972206782041601</v>
          </cell>
          <cell r="I279">
            <v>0.114099951736182</v>
          </cell>
          <cell r="J279"/>
          <cell r="K279"/>
        </row>
        <row r="280">
          <cell r="A280" t="str">
            <v>ITOT-SWHBIOBR</v>
          </cell>
          <cell r="B280" t="str">
            <v>VAR_cap</v>
          </cell>
          <cell r="C280" t="str">
            <v>-</v>
          </cell>
          <cell r="D280">
            <v>1.7013611085743299E-2</v>
          </cell>
          <cell r="E280">
            <v>4.0147980018365885E-2</v>
          </cell>
          <cell r="F280">
            <v>0.11276663423918333</v>
          </cell>
          <cell r="G280">
            <v>0.11625319198105995</v>
          </cell>
          <cell r="H280">
            <v>0.33766011568067489</v>
          </cell>
          <cell r="I280">
            <v>0.30786384818304513</v>
          </cell>
          <cell r="J280"/>
          <cell r="K280"/>
        </row>
        <row r="281">
          <cell r="A281" t="str">
            <v>RHNS-SHPLTBR</v>
          </cell>
          <cell r="B281" t="str">
            <v>VAR_fout</v>
          </cell>
          <cell r="C281" t="str">
            <v>RHNS-SHPLT</v>
          </cell>
          <cell r="D281"/>
          <cell r="E281"/>
          <cell r="F281">
            <v>3.0631293919569243E-3</v>
          </cell>
          <cell r="G281">
            <v>1.1152428894072652E-2</v>
          </cell>
          <cell r="H281">
            <v>1.2190484334150068E-2</v>
          </cell>
          <cell r="I281">
            <v>1.5429845652888926E-2</v>
          </cell>
          <cell r="J281"/>
        </row>
        <row r="282">
          <cell r="A282" t="str">
            <v>RHNS-SHPLTBR</v>
          </cell>
          <cell r="B282" t="str">
            <v>VAR_fin</v>
          </cell>
          <cell r="C282" t="str">
            <v>RPLT</v>
          </cell>
          <cell r="D282"/>
          <cell r="E282"/>
          <cell r="F282">
            <v>4.0860517632272724E-3</v>
          </cell>
          <cell r="G282">
            <v>1.4674119651915785E-2</v>
          </cell>
          <cell r="H282">
            <v>1.598464362860615E-2</v>
          </cell>
          <cell r="I282">
            <v>2.0047670735882088E-2</v>
          </cell>
          <cell r="J282"/>
          <cell r="K282"/>
        </row>
        <row r="283">
          <cell r="A283" t="str">
            <v>RHNS-SHPLTBR</v>
          </cell>
          <cell r="B283" t="str">
            <v>VAR_ncap</v>
          </cell>
          <cell r="C283" t="str">
            <v>-</v>
          </cell>
          <cell r="D283"/>
          <cell r="E283">
            <v>6.10996054776732E-7</v>
          </cell>
          <cell r="F283">
            <v>2.78872812543076E-4</v>
          </cell>
          <cell r="G283">
            <v>5.6708350591013802E-4</v>
          </cell>
          <cell r="H283">
            <v>4.4731462687565098E-4</v>
          </cell>
          <cell r="I283">
            <v>8.0413971330418801E-4</v>
          </cell>
          <cell r="J283"/>
          <cell r="K283"/>
        </row>
        <row r="284">
          <cell r="A284" t="str">
            <v>RHNS-SHPLTBR</v>
          </cell>
          <cell r="B284" t="str">
            <v>VAR_cap</v>
          </cell>
          <cell r="C284" t="str">
            <v>-</v>
          </cell>
          <cell r="D284"/>
          <cell r="E284">
            <v>6.10996054776732E-7</v>
          </cell>
          <cell r="F284">
            <v>2.7937318244238577E-4</v>
          </cell>
          <cell r="G284">
            <v>8.4623969007048062E-4</v>
          </cell>
          <cell r="H284">
            <v>9.402744706936382E-4</v>
          </cell>
          <cell r="I284">
            <v>1.1526174657023284E-3</v>
          </cell>
          <cell r="J284"/>
          <cell r="K284"/>
        </row>
        <row r="285">
          <cell r="A285" t="str">
            <v>D-RHNM_KEV_WOD_ELC_CHP</v>
          </cell>
          <cell r="B285" t="str">
            <v>VAR_fout</v>
          </cell>
          <cell r="C285" t="str">
            <v>ELC5</v>
          </cell>
          <cell r="D285"/>
          <cell r="E285"/>
          <cell r="F285"/>
          <cell r="G285">
            <v>8.7193943196873982E-4</v>
          </cell>
          <cell r="H285">
            <v>1.1727734608265972E-3</v>
          </cell>
          <cell r="I285">
            <v>2.8273315073301284E-4</v>
          </cell>
          <cell r="J285"/>
          <cell r="K285"/>
        </row>
        <row r="286">
          <cell r="A286" t="str">
            <v>D-RHNM_KEV_WOD_ELC_CHP</v>
          </cell>
          <cell r="B286" t="str">
            <v>VAR_fout</v>
          </cell>
          <cell r="C286" t="str">
            <v>RHNM_ELC</v>
          </cell>
          <cell r="D286"/>
          <cell r="E286"/>
          <cell r="F286"/>
          <cell r="G286">
            <v>2.5744326454827277E-4</v>
          </cell>
          <cell r="H286">
            <v>1.1721254962306505E-3</v>
          </cell>
          <cell r="I286">
            <v>2.8267461416981679E-4</v>
          </cell>
          <cell r="J286"/>
        </row>
        <row r="287">
          <cell r="A287" t="str">
            <v>D-RHNM_KEV_WOD_ELC_CHP</v>
          </cell>
          <cell r="B287" t="str">
            <v>VAR_fin</v>
          </cell>
          <cell r="C287" t="str">
            <v>RHNM_KEV_WOD_ELC_CHP</v>
          </cell>
          <cell r="D287"/>
          <cell r="E287"/>
          <cell r="F287"/>
          <cell r="G287">
            <v>1.1282151045959637E-3</v>
          </cell>
          <cell r="H287">
            <v>2.3409819368207219E-3</v>
          </cell>
          <cell r="I287">
            <v>5.6270698962162938E-4</v>
          </cell>
          <cell r="J287"/>
          <cell r="K287"/>
        </row>
        <row r="288">
          <cell r="A288" t="str">
            <v>SCOM-SHLTHCHPNGA</v>
          </cell>
          <cell r="B288" t="str">
            <v>VAR_fout</v>
          </cell>
          <cell r="C288" t="str">
            <v>SCOM-SHLTHC-NGA</v>
          </cell>
          <cell r="D288">
            <v>0.68565121949047203</v>
          </cell>
          <cell r="E288">
            <v>0.74269140189889016</v>
          </cell>
          <cell r="F288"/>
          <cell r="G288"/>
          <cell r="H288"/>
          <cell r="I288"/>
          <cell r="J288"/>
        </row>
        <row r="289">
          <cell r="A289" t="str">
            <v>SCOM-SHLTHCHPNGA</v>
          </cell>
          <cell r="B289" t="str">
            <v>VAR_fin</v>
          </cell>
          <cell r="C289" t="str">
            <v>SCOMLTHCHPC</v>
          </cell>
          <cell r="D289">
            <v>0.68565121949047203</v>
          </cell>
          <cell r="E289">
            <v>0.74269140189889016</v>
          </cell>
          <cell r="F289"/>
          <cell r="G289"/>
          <cell r="H289"/>
          <cell r="I289"/>
          <cell r="J289"/>
          <cell r="K289"/>
        </row>
        <row r="290">
          <cell r="A290" t="str">
            <v>SCOM-SHLTHCHPNGA</v>
          </cell>
          <cell r="B290" t="str">
            <v>VAR_fin</v>
          </cell>
          <cell r="C290" t="str">
            <v>SCOM_LTH_CHPNGA_ON</v>
          </cell>
          <cell r="D290">
            <v>0.69257698938431544</v>
          </cell>
          <cell r="E290">
            <v>0.75019333525140464</v>
          </cell>
          <cell r="F290"/>
          <cell r="G290"/>
          <cell r="H290"/>
          <cell r="I290"/>
          <cell r="J290"/>
          <cell r="K290"/>
        </row>
        <row r="291">
          <cell r="A291" t="str">
            <v>SCOM-SHLTHCHPNGA</v>
          </cell>
          <cell r="B291" t="str">
            <v>VAR_ncap</v>
          </cell>
          <cell r="C291" t="str">
            <v>-</v>
          </cell>
          <cell r="D291">
            <v>4.27232109074759E-8</v>
          </cell>
          <cell r="E291">
            <v>1.7328524940561502E-2</v>
          </cell>
          <cell r="F291">
            <v>3.6648619259999602E-4</v>
          </cell>
          <cell r="G291">
            <v>6.7606926808317107E-5</v>
          </cell>
          <cell r="H291">
            <v>1.42737254837334E-4</v>
          </cell>
          <cell r="I291">
            <v>3.1506366702580302E-5</v>
          </cell>
          <cell r="J291"/>
          <cell r="K291"/>
        </row>
        <row r="292">
          <cell r="A292" t="str">
            <v>SCOM-SHLTHCHPNGA</v>
          </cell>
          <cell r="B292" t="str">
            <v>VAR_cap</v>
          </cell>
          <cell r="C292" t="str">
            <v>-</v>
          </cell>
          <cell r="D292">
            <v>7.5969311681737817E-2</v>
          </cell>
          <cell r="E292">
            <v>5.7388041340537502E-2</v>
          </cell>
          <cell r="F292">
            <v>5.7488810296471571E-4</v>
          </cell>
          <cell r="G292">
            <v>1.4591377403390393E-4</v>
          </cell>
          <cell r="H292">
            <v>2.0309593445011801E-4</v>
          </cell>
          <cell r="I292">
            <v>6.1718460951571015E-5</v>
          </cell>
          <cell r="J292"/>
          <cell r="K292"/>
        </row>
        <row r="293">
          <cell r="A293" t="str">
            <v>ITOT-PROCESSCO2</v>
          </cell>
          <cell r="B293" t="str">
            <v>VAR_fout</v>
          </cell>
          <cell r="C293" t="str">
            <v>CO2</v>
          </cell>
          <cell r="D293">
            <v>2089.34680048464</v>
          </cell>
          <cell r="E293">
            <v>2111.0131698740802</v>
          </cell>
          <cell r="F293">
            <v>2102.26947106126</v>
          </cell>
          <cell r="G293">
            <v>2093.6571844602399</v>
          </cell>
          <cell r="H293">
            <v>2077.4132153713499</v>
          </cell>
          <cell r="I293">
            <v>2063.74955037679</v>
          </cell>
          <cell r="J293"/>
          <cell r="K293"/>
        </row>
        <row r="294">
          <cell r="A294" t="str">
            <v>ITOT-PROCESSCO2</v>
          </cell>
          <cell r="B294" t="str">
            <v>VAR_fout</v>
          </cell>
          <cell r="C294" t="str">
            <v>CO2P</v>
          </cell>
          <cell r="D294">
            <v>2089.34680048464</v>
          </cell>
          <cell r="E294">
            <v>2111.0131698740802</v>
          </cell>
          <cell r="F294">
            <v>2102.26947106126</v>
          </cell>
          <cell r="G294">
            <v>2093.6571844602386</v>
          </cell>
          <cell r="H294">
            <v>2077.4132153713481</v>
          </cell>
          <cell r="I294">
            <v>2063.7495503767936</v>
          </cell>
          <cell r="J294"/>
          <cell r="K294"/>
        </row>
        <row r="295">
          <cell r="A295" t="str">
            <v>RHNM-SHWODBR</v>
          </cell>
          <cell r="B295" t="str">
            <v>VAR_fout</v>
          </cell>
          <cell r="C295" t="str">
            <v>RHNM-SHWOD</v>
          </cell>
          <cell r="D295"/>
          <cell r="E295">
            <v>8.1139362518556191E-2</v>
          </cell>
          <cell r="F295">
            <v>6.4038866287199417E-2</v>
          </cell>
          <cell r="G295">
            <v>0.12133827012917002</v>
          </cell>
          <cell r="H295">
            <v>0.15505341728140409</v>
          </cell>
          <cell r="I295">
            <v>0.16497352862947545</v>
          </cell>
          <cell r="J295"/>
          <cell r="K295"/>
        </row>
        <row r="296">
          <cell r="A296" t="str">
            <v>RHNM-SHWODBR</v>
          </cell>
          <cell r="B296" t="str">
            <v>VAR_fin</v>
          </cell>
          <cell r="C296" t="str">
            <v>RHNMWODBRC</v>
          </cell>
          <cell r="D296"/>
          <cell r="E296">
            <v>8.1139362518556191E-2</v>
          </cell>
          <cell r="F296">
            <v>6.4038866287199417E-2</v>
          </cell>
          <cell r="G296">
            <v>0.12133827012917002</v>
          </cell>
          <cell r="H296">
            <v>0.15505341728140409</v>
          </cell>
          <cell r="I296">
            <v>0.16497352862947545</v>
          </cell>
          <cell r="J296"/>
          <cell r="K296"/>
        </row>
        <row r="297">
          <cell r="A297" t="str">
            <v>RHNM-SHWODBR</v>
          </cell>
          <cell r="B297" t="str">
            <v>VAR_fin</v>
          </cell>
          <cell r="C297" t="str">
            <v>RWOD</v>
          </cell>
          <cell r="D297"/>
          <cell r="E297">
            <v>0.11269355905355019</v>
          </cell>
          <cell r="F297">
            <v>8.5946939330654101E-2</v>
          </cell>
          <cell r="G297">
            <v>0.16078480683247748</v>
          </cell>
          <cell r="H297">
            <v>0.2033577916025302</v>
          </cell>
          <cell r="I297">
            <v>0.21636835255349429</v>
          </cell>
          <cell r="J297"/>
          <cell r="K297"/>
        </row>
        <row r="298">
          <cell r="A298" t="str">
            <v>RHNM-SHWODBR</v>
          </cell>
          <cell r="B298" t="str">
            <v>VAR_ncap</v>
          </cell>
          <cell r="C298" t="str">
            <v>-</v>
          </cell>
          <cell r="D298"/>
          <cell r="E298">
            <v>6.5550164866886099E-3</v>
          </cell>
          <cell r="F298">
            <v>2.9199015409228299E-3</v>
          </cell>
          <cell r="G298"/>
          <cell r="H298"/>
          <cell r="I298"/>
          <cell r="J298"/>
          <cell r="K298"/>
        </row>
        <row r="299">
          <cell r="A299" t="str">
            <v>RHNM-SHWODBR</v>
          </cell>
          <cell r="B299" t="str">
            <v>VAR_cap</v>
          </cell>
          <cell r="C299" t="str">
            <v>-</v>
          </cell>
          <cell r="D299"/>
          <cell r="E299">
            <v>6.5550164866886099E-3</v>
          </cell>
          <cell r="F299">
            <v>9.4746677594144124E-3</v>
          </cell>
          <cell r="G299">
            <v>9.4743046864996325E-3</v>
          </cell>
          <cell r="H299">
            <v>3.0923003159161192E-2</v>
          </cell>
          <cell r="I299">
            <v>1.2869218974353449E-2</v>
          </cell>
          <cell r="J299"/>
          <cell r="K299"/>
        </row>
        <row r="300">
          <cell r="A300" t="str">
            <v>RHNS-SHDEM</v>
          </cell>
          <cell r="B300" t="str">
            <v>VAR_fout</v>
          </cell>
          <cell r="C300" t="str">
            <v>RHNS-SHD</v>
          </cell>
          <cell r="D300"/>
          <cell r="E300">
            <v>0.40468474157116097</v>
          </cell>
          <cell r="F300">
            <v>1.3171913808161693</v>
          </cell>
          <cell r="G300">
            <v>2.5842350641983503</v>
          </cell>
          <cell r="H300">
            <v>3.9364784821634329</v>
          </cell>
          <cell r="I300">
            <v>4.7389391974140009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RHNS-SHLTHC-WOD</v>
          </cell>
          <cell r="D301"/>
          <cell r="E301">
            <v>4.7803366384365504E-5</v>
          </cell>
          <cell r="F301">
            <v>5.1546841001284554E-5</v>
          </cell>
          <cell r="G301">
            <v>1.6373074602701778E-4</v>
          </cell>
          <cell r="H301">
            <v>2.4854940522103961E-5</v>
          </cell>
          <cell r="I301"/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RHNS-SHLFO</v>
          </cell>
          <cell r="D302"/>
          <cell r="E302">
            <v>3.285637678655437E-4</v>
          </cell>
          <cell r="F302">
            <v>2.2146775250342369E-2</v>
          </cell>
          <cell r="G302">
            <v>4.7071912209598353E-2</v>
          </cell>
          <cell r="H302">
            <v>4.1372970516898672E-2</v>
          </cell>
          <cell r="I302">
            <v>1.4236210028928088E-4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RHNS-SHNGAH</v>
          </cell>
          <cell r="D303"/>
          <cell r="E303">
            <v>4.632210256909932E-5</v>
          </cell>
          <cell r="F303">
            <v>0.17093579361736055</v>
          </cell>
          <cell r="G303">
            <v>0.61166164951962398</v>
          </cell>
          <cell r="H303">
            <v>1.0127715406042548</v>
          </cell>
          <cell r="I303">
            <v>1.2023503547842191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RHNS-SHCON</v>
          </cell>
          <cell r="D304"/>
          <cell r="E304"/>
          <cell r="F304">
            <v>1.243599994828836E-3</v>
          </cell>
          <cell r="G304">
            <v>1.2514092956046319E-3</v>
          </cell>
          <cell r="H304">
            <v>3.8340878887631359E-3</v>
          </cell>
          <cell r="I304">
            <v>9.6354629255167128E-3</v>
          </cell>
          <cell r="J304"/>
          <cell r="K304"/>
        </row>
        <row r="305">
          <cell r="A305" t="str">
            <v>RHNS-SHDEM</v>
          </cell>
          <cell r="B305" t="str">
            <v>VAR_fin</v>
          </cell>
          <cell r="C305" t="str">
            <v>RHNS-SHWOD</v>
          </cell>
          <cell r="D305"/>
          <cell r="E305">
            <v>2.6411170499774948E-2</v>
          </cell>
          <cell r="F305">
            <v>3.1135656001345279E-2</v>
          </cell>
          <cell r="G305">
            <v>8.5817981379201519E-2</v>
          </cell>
          <cell r="H305">
            <v>9.6136266084719188E-2</v>
          </cell>
          <cell r="I305">
            <v>0.1107220317439712</v>
          </cell>
          <cell r="J305"/>
        </row>
        <row r="306">
          <cell r="A306" t="str">
            <v>RHNS-SHDEM</v>
          </cell>
          <cell r="B306" t="str">
            <v>VAR_fin</v>
          </cell>
          <cell r="C306" t="str">
            <v>RHNS-SHNST</v>
          </cell>
          <cell r="D306"/>
          <cell r="E306">
            <v>4.4477291844526743E-5</v>
          </cell>
          <cell r="F306">
            <v>9.779399564342753E-5</v>
          </cell>
          <cell r="G306"/>
          <cell r="H306">
            <v>2.2499227961657548E-4</v>
          </cell>
          <cell r="I306"/>
          <cell r="J306"/>
          <cell r="K306"/>
        </row>
        <row r="307">
          <cell r="A307" t="str">
            <v>RHNS-SHDEM</v>
          </cell>
          <cell r="B307" t="str">
            <v>VAR_fin</v>
          </cell>
          <cell r="C307" t="str">
            <v>RHNS-SHPLT</v>
          </cell>
          <cell r="D307"/>
          <cell r="E307">
            <v>4.2951063589059029E-5</v>
          </cell>
          <cell r="F307">
            <v>3.1041633569195782E-3</v>
          </cell>
          <cell r="G307">
            <v>1.1143205381164902E-2</v>
          </cell>
          <cell r="H307">
            <v>1.2158536366026552E-2</v>
          </cell>
          <cell r="I307">
            <v>1.5414919684115151E-2</v>
          </cell>
          <cell r="J307"/>
        </row>
        <row r="308">
          <cell r="A308" t="str">
            <v>RHNS-SHDEM</v>
          </cell>
          <cell r="B308" t="str">
            <v>VAR_fin</v>
          </cell>
          <cell r="C308" t="str">
            <v>RHNS-SHLTHD</v>
          </cell>
          <cell r="D308"/>
          <cell r="E308">
            <v>5.3811323799840494E-2</v>
          </cell>
          <cell r="F308">
            <v>5.1077637731899932E-2</v>
          </cell>
          <cell r="G308">
            <v>0.19516468502736226</v>
          </cell>
          <cell r="H308">
            <v>0.21115822351818003</v>
          </cell>
          <cell r="I308">
            <v>0.23609470321534709</v>
          </cell>
          <cell r="J308"/>
          <cell r="K308"/>
        </row>
        <row r="309">
          <cell r="A309" t="str">
            <v>RHNS-SHDEM</v>
          </cell>
          <cell r="B309" t="str">
            <v>VAR_fin</v>
          </cell>
          <cell r="C309" t="str">
            <v>RHNS-SHELCB</v>
          </cell>
          <cell r="D309"/>
          <cell r="E309">
            <v>6.8733087851885741E-2</v>
          </cell>
          <cell r="F309">
            <v>2.3954834606961118E-3</v>
          </cell>
          <cell r="G309">
            <v>7.7304829062543965E-3</v>
          </cell>
          <cell r="H309">
            <v>8.4843840186092263E-3</v>
          </cell>
          <cell r="I309">
            <v>7.9664679540811592E-3</v>
          </cell>
          <cell r="J309"/>
          <cell r="K309"/>
        </row>
        <row r="310">
          <cell r="A310" t="str">
            <v>RHNS-SHDEM</v>
          </cell>
          <cell r="B310" t="str">
            <v>VAR_fin</v>
          </cell>
          <cell r="C310" t="str">
            <v>RHNS-SHELCH</v>
          </cell>
          <cell r="D310"/>
          <cell r="E310">
            <v>0.13923129146581953</v>
          </cell>
          <cell r="F310">
            <v>0.99063258792609454</v>
          </cell>
          <cell r="G310">
            <v>1.5592365065704294</v>
          </cell>
          <cell r="H310">
            <v>2.4925634460053674</v>
          </cell>
          <cell r="I310">
            <v>3.136239281014539</v>
          </cell>
          <cell r="J310"/>
          <cell r="K310"/>
        </row>
        <row r="311">
          <cell r="A311" t="str">
            <v>RHNS-SHDEM</v>
          </cell>
          <cell r="B311" t="str">
            <v>VAR_fin</v>
          </cell>
          <cell r="C311" t="str">
            <v>RHNS-SHSOL</v>
          </cell>
          <cell r="D311"/>
          <cell r="E311">
            <v>1.3263288447744851E-2</v>
          </cell>
          <cell r="F311">
            <v>3.4943509349724601E-4</v>
          </cell>
          <cell r="G311">
            <v>5.966258540103642E-4</v>
          </cell>
          <cell r="H311">
            <v>7.343608307856526E-4</v>
          </cell>
          <cell r="I311">
            <v>9.4372160082493799E-4</v>
          </cell>
          <cell r="J311"/>
        </row>
        <row r="312">
          <cell r="A312" t="str">
            <v>RHNS-SHDEM</v>
          </cell>
          <cell r="B312" t="str">
            <v>VAR_fin</v>
          </cell>
          <cell r="C312" t="str">
            <v>RHNS-SHLTHC-NGA</v>
          </cell>
          <cell r="D312"/>
          <cell r="E312">
            <v>1.0062399696292371E-3</v>
          </cell>
          <cell r="F312">
            <v>4.0126862276436331E-5</v>
          </cell>
          <cell r="G312">
            <v>4.4522992737885486E-5</v>
          </cell>
          <cell r="H312">
            <v>2.1336244277708071E-5</v>
          </cell>
          <cell r="I312">
            <v>1.5502491347243323E-5</v>
          </cell>
          <cell r="J312"/>
        </row>
        <row r="313">
          <cell r="A313" t="str">
            <v>RHNS-SHDEM</v>
          </cell>
          <cell r="B313" t="str">
            <v>VAR_fin</v>
          </cell>
          <cell r="C313" t="str">
            <v>RHNS-SHNGA</v>
          </cell>
          <cell r="D313"/>
          <cell r="E313">
            <v>0.10178438182850841</v>
          </cell>
          <cell r="F313">
            <v>4.4117553613356043E-2</v>
          </cell>
          <cell r="G313">
            <v>6.4468987246375259E-2</v>
          </cell>
          <cell r="H313">
            <v>5.7094217406798459E-2</v>
          </cell>
          <cell r="I313">
            <v>1.9495650732723045E-2</v>
          </cell>
          <cell r="J313"/>
          <cell r="K313"/>
        </row>
        <row r="314">
          <cell r="A314" t="str">
            <v>RES-ELCSPEC</v>
          </cell>
          <cell r="B314" t="str">
            <v>VAR_fout</v>
          </cell>
          <cell r="C314" t="str">
            <v>RHSA-ELS</v>
          </cell>
          <cell r="D314">
            <v>44.57690787424275</v>
          </cell>
          <cell r="E314">
            <v>44.861180885412296</v>
          </cell>
          <cell r="F314">
            <v>44.563474835646723</v>
          </cell>
          <cell r="G314">
            <v>36.734470442785913</v>
          </cell>
          <cell r="H314">
            <v>30.024652527941342</v>
          </cell>
          <cell r="I314">
            <v>22.362531014967495</v>
          </cell>
          <cell r="J314"/>
        </row>
        <row r="315">
          <cell r="A315" t="str">
            <v>RES-ELCSPEC</v>
          </cell>
          <cell r="B315" t="str">
            <v>VAR_fin</v>
          </cell>
          <cell r="C315" t="str">
            <v>RHSA_ELC</v>
          </cell>
          <cell r="D315">
            <v>44.57690787424275</v>
          </cell>
          <cell r="E315">
            <v>44.861180885412296</v>
          </cell>
          <cell r="F315">
            <v>44.563474835646723</v>
          </cell>
          <cell r="G315">
            <v>36.734470442785913</v>
          </cell>
          <cell r="H315">
            <v>30.024652527941342</v>
          </cell>
          <cell r="I315">
            <v>22.362531014967495</v>
          </cell>
          <cell r="J315"/>
        </row>
        <row r="316">
          <cell r="A316" t="str">
            <v>RES-ELCSPEC</v>
          </cell>
          <cell r="B316" t="str">
            <v>VAR_ncap</v>
          </cell>
          <cell r="C316" t="str">
            <v>-</v>
          </cell>
          <cell r="D316">
            <v>0.19321203582730201</v>
          </cell>
          <cell r="E316">
            <v>3.2289144336738298E-6</v>
          </cell>
          <cell r="F316">
            <v>2.8897348186458299E-6</v>
          </cell>
          <cell r="G316">
            <v>2.3974141555687402E-6</v>
          </cell>
          <cell r="H316">
            <v>1.9771348340637901E-6</v>
          </cell>
          <cell r="I316">
            <v>2.0738447176901298</v>
          </cell>
          <cell r="J316"/>
          <cell r="K316"/>
        </row>
        <row r="317">
          <cell r="A317" t="str">
            <v>RES-ELCSPEC</v>
          </cell>
          <cell r="B317" t="str">
            <v>VAR_cap</v>
          </cell>
          <cell r="C317" t="str">
            <v>-</v>
          </cell>
          <cell r="D317">
            <v>4.7117487199577717</v>
          </cell>
          <cell r="E317">
            <v>4.7418016522229571</v>
          </cell>
          <cell r="F317">
            <v>4.7103366161426585</v>
          </cell>
          <cell r="G317">
            <v>3.8828150254605052</v>
          </cell>
          <cell r="H317">
            <v>3.1736076767466841</v>
          </cell>
          <cell r="I317">
            <v>2.3637056234630243</v>
          </cell>
          <cell r="J317"/>
          <cell r="K317"/>
          <cell r="L317"/>
          <cell r="M317"/>
        </row>
        <row r="318">
          <cell r="A318" t="str">
            <v>SCOM-SHCONBR1</v>
          </cell>
          <cell r="B318" t="str">
            <v>VAR_fout</v>
          </cell>
          <cell r="C318" t="str">
            <v>SCOM-SHCON</v>
          </cell>
          <cell r="D318"/>
          <cell r="E318">
            <v>2.6177957480167833</v>
          </cell>
          <cell r="F318">
            <v>0.73360970709031159</v>
          </cell>
          <cell r="G318">
            <v>1.3762132909990874</v>
          </cell>
          <cell r="H318">
            <v>2.6177835902472109</v>
          </cell>
          <cell r="I318">
            <v>2.61779216599286</v>
          </cell>
          <cell r="J318"/>
          <cell r="K318"/>
        </row>
        <row r="319">
          <cell r="A319" t="str">
            <v>SCOM-SHCONBR1</v>
          </cell>
          <cell r="B319" t="str">
            <v>VAR_fin</v>
          </cell>
          <cell r="C319" t="str">
            <v>CON</v>
          </cell>
          <cell r="D319"/>
          <cell r="E319">
            <v>2.6177957480167833</v>
          </cell>
          <cell r="F319">
            <v>0.73360970709031159</v>
          </cell>
          <cell r="G319">
            <v>1.3762132909990874</v>
          </cell>
          <cell r="H319">
            <v>2.6177835902472109</v>
          </cell>
          <cell r="I319">
            <v>2.61779216599286</v>
          </cell>
          <cell r="J319"/>
        </row>
        <row r="320">
          <cell r="A320" t="str">
            <v>SCOM-SHCONBR1</v>
          </cell>
          <cell r="B320" t="str">
            <v>VAR_ncap</v>
          </cell>
          <cell r="C320" t="str">
            <v>-</v>
          </cell>
          <cell r="E320">
            <v>0.20229093199536</v>
          </cell>
          <cell r="F320">
            <v>1.9031551684949301E-7</v>
          </cell>
          <cell r="G320">
            <v>1.7316682639740301E-7</v>
          </cell>
          <cell r="H320">
            <v>5.3582944320174396E-3</v>
          </cell>
          <cell r="I320">
            <v>9.8896669360226397E-2</v>
          </cell>
          <cell r="J320"/>
        </row>
        <row r="321">
          <cell r="A321" t="str">
            <v>SCOM-SHCONBR1</v>
          </cell>
          <cell r="B321" t="str">
            <v>VAR_cap</v>
          </cell>
          <cell r="C321" t="str">
            <v>-</v>
          </cell>
          <cell r="D321"/>
          <cell r="E321">
            <v>0.20229093199536</v>
          </cell>
          <cell r="F321">
            <v>0.20229092166647261</v>
          </cell>
          <cell r="G321">
            <v>0.20229083344219831</v>
          </cell>
          <cell r="H321">
            <v>0.20764981911833211</v>
          </cell>
          <cell r="I321">
            <v>0.22120027517286497</v>
          </cell>
          <cell r="J321"/>
          <cell r="K321"/>
        </row>
        <row r="322">
          <cell r="A322" t="str">
            <v>RHSA-WHSTG-SOL</v>
          </cell>
          <cell r="B322" t="str">
            <v>VAR_fout</v>
          </cell>
          <cell r="C322" t="str">
            <v>RHSA-WHASOL</v>
          </cell>
          <cell r="D322">
            <v>1.1278892991628516E-5</v>
          </cell>
          <cell r="E322">
            <v>2.3951473743021657E-6</v>
          </cell>
          <cell r="F322">
            <v>9.0417223256520074E-3</v>
          </cell>
          <cell r="G322">
            <v>0.10496713647194904</v>
          </cell>
          <cell r="H322">
            <v>0.28078711757194519</v>
          </cell>
          <cell r="I322">
            <v>0.27919949311521786</v>
          </cell>
          <cell r="J322"/>
          <cell r="K322"/>
        </row>
        <row r="323">
          <cell r="A323" t="str">
            <v>RHSA-WHSTG-SOL</v>
          </cell>
          <cell r="B323" t="str">
            <v>VAR_fin</v>
          </cell>
          <cell r="C323" t="str">
            <v>RHSA-WHASOL</v>
          </cell>
          <cell r="D323">
            <v>2.19303868528395E-7</v>
          </cell>
          <cell r="E323">
            <v>7.5801863002489961E-6</v>
          </cell>
          <cell r="F323">
            <v>9.0461980087696795E-3</v>
          </cell>
          <cell r="G323">
            <v>0.10497274755385735</v>
          </cell>
          <cell r="H323">
            <v>0.28079674333119559</v>
          </cell>
          <cell r="I323">
            <v>0.27921051049160611</v>
          </cell>
          <cell r="J323"/>
        </row>
        <row r="324">
          <cell r="A324" t="str">
            <v>RHSA-WHSTG-SOL</v>
          </cell>
          <cell r="B324" t="str">
            <v>VAR_ncap</v>
          </cell>
          <cell r="C324" t="str">
            <v>-</v>
          </cell>
          <cell r="D324">
            <v>7.1703101176128197E-3</v>
          </cell>
          <cell r="E324">
            <v>7.1064239011355002E-2</v>
          </cell>
          <cell r="F324">
            <v>3.6253280412104801E-7</v>
          </cell>
          <cell r="G324">
            <v>4.2218939018144998E-7</v>
          </cell>
          <cell r="H324">
            <v>4.1094055269039802E-2</v>
          </cell>
          <cell r="I324">
            <v>2.2340721884003201E-2</v>
          </cell>
          <cell r="J324"/>
        </row>
        <row r="325">
          <cell r="A325" t="str">
            <v>RHSA-WHSTG-SOL</v>
          </cell>
          <cell r="B325" t="str">
            <v>VAR_cap</v>
          </cell>
          <cell r="C325" t="str">
            <v>-</v>
          </cell>
          <cell r="D325">
            <v>7.1713726705764161E-3</v>
          </cell>
          <cell r="E325">
            <v>7.8235611681931397E-2</v>
          </cell>
          <cell r="F325">
            <v>7.8235974214735507E-2</v>
          </cell>
          <cell r="G325">
            <v>7.8236396404125705E-2</v>
          </cell>
          <cell r="H325">
            <v>6.0673711447452101E-2</v>
          </cell>
          <cell r="I325">
            <v>6.0445996131483999E-2</v>
          </cell>
          <cell r="J325"/>
        </row>
        <row r="326">
          <cell r="A326" t="str">
            <v>SCOM-SHCONBR2</v>
          </cell>
          <cell r="B326" t="str">
            <v>VAR_fout</v>
          </cell>
          <cell r="C326" t="str">
            <v>SCOM-SHCON</v>
          </cell>
          <cell r="D326"/>
          <cell r="E326">
            <v>4.077270937846154</v>
          </cell>
          <cell r="F326">
            <v>0.96648026148338106</v>
          </cell>
          <cell r="G326">
            <v>2.1886727188730766</v>
          </cell>
          <cell r="H326">
            <v>4.0772581810269379</v>
          </cell>
          <cell r="I326">
            <v>4.0772677447266634</v>
          </cell>
          <cell r="J326"/>
          <cell r="K326"/>
        </row>
        <row r="327">
          <cell r="A327" t="str">
            <v>SCOM-SHCONBR2</v>
          </cell>
          <cell r="B327" t="str">
            <v>VAR_fin</v>
          </cell>
          <cell r="C327" t="str">
            <v>CON</v>
          </cell>
          <cell r="D327"/>
          <cell r="E327">
            <v>4.077270937846154</v>
          </cell>
          <cell r="F327">
            <v>0.96648026148338106</v>
          </cell>
          <cell r="G327">
            <v>2.1886727188730766</v>
          </cell>
          <cell r="H327">
            <v>4.0772581810269379</v>
          </cell>
          <cell r="I327">
            <v>4.0772677447266634</v>
          </cell>
          <cell r="J327"/>
          <cell r="K327"/>
        </row>
        <row r="328">
          <cell r="A328" t="str">
            <v>SCOM-SHCONBR2</v>
          </cell>
          <cell r="B328" t="str">
            <v>VAR_ncap</v>
          </cell>
          <cell r="C328" t="str">
            <v>-</v>
          </cell>
          <cell r="D328"/>
          <cell r="E328">
            <v>0.31506459966271</v>
          </cell>
          <cell r="F328">
            <v>1.7864402032809301E-7</v>
          </cell>
          <cell r="G328">
            <v>1.6298720688138401E-7</v>
          </cell>
          <cell r="H328">
            <v>1.2401305294089701E-3</v>
          </cell>
          <cell r="I328">
            <v>0.15374908765460199</v>
          </cell>
          <cell r="J328"/>
        </row>
        <row r="329">
          <cell r="A329" t="str">
            <v>SCOM-SHCONBR2</v>
          </cell>
          <cell r="B329" t="str">
            <v>VAR_cap</v>
          </cell>
          <cell r="C329" t="str">
            <v>-</v>
          </cell>
          <cell r="D329"/>
          <cell r="E329">
            <v>0.31506459966271</v>
          </cell>
          <cell r="F329">
            <v>0.31506457998524817</v>
          </cell>
          <cell r="G329">
            <v>0.31506448760851785</v>
          </cell>
          <cell r="H329">
            <v>0.31630536378669344</v>
          </cell>
          <cell r="I329">
            <v>0.33712914775180358</v>
          </cell>
          <cell r="J329"/>
          <cell r="K329"/>
        </row>
        <row r="330">
          <cell r="A330" t="str">
            <v>SCOM-SHCONBR3</v>
          </cell>
          <cell r="B330" t="str">
            <v>VAR_fout</v>
          </cell>
          <cell r="C330" t="str">
            <v>SCOM-SHCON</v>
          </cell>
          <cell r="D330"/>
          <cell r="E330">
            <v>2.4166632036462334</v>
          </cell>
          <cell r="F330">
            <v>0.64423358003733966</v>
          </cell>
          <cell r="G330">
            <v>1.1935598140069612</v>
          </cell>
          <cell r="H330">
            <v>2.5830548517018577</v>
          </cell>
          <cell r="I330">
            <v>3.2762278922746044</v>
          </cell>
          <cell r="J330"/>
          <cell r="K330"/>
        </row>
        <row r="331">
          <cell r="A331" t="str">
            <v>SCOM-SHCONBR3</v>
          </cell>
          <cell r="B331" t="str">
            <v>VAR_fin</v>
          </cell>
          <cell r="C331" t="str">
            <v>CON</v>
          </cell>
          <cell r="D331"/>
          <cell r="E331">
            <v>2.4166632036462334</v>
          </cell>
          <cell r="F331">
            <v>0.64423358003733966</v>
          </cell>
          <cell r="G331">
            <v>1.1935598140069612</v>
          </cell>
          <cell r="H331">
            <v>2.5830548517018577</v>
          </cell>
          <cell r="I331">
            <v>3.2762278922746044</v>
          </cell>
          <cell r="J331"/>
        </row>
        <row r="332">
          <cell r="A332" t="str">
            <v>SCOM-SHCONBR3</v>
          </cell>
          <cell r="B332" t="str">
            <v>VAR_ncap</v>
          </cell>
          <cell r="C332" t="str">
            <v>-</v>
          </cell>
          <cell r="D332"/>
          <cell r="E332">
            <v>0.186744985416335</v>
          </cell>
          <cell r="F332">
            <v>1.19992772552322E-7</v>
          </cell>
          <cell r="G332">
            <v>1.06802965272794E-7</v>
          </cell>
          <cell r="H332">
            <v>1.28843599444227E-2</v>
          </cell>
          <cell r="I332">
            <v>0.13233874562930001</v>
          </cell>
          <cell r="J332"/>
          <cell r="K332"/>
        </row>
        <row r="333">
          <cell r="A333" t="str">
            <v>SCOM-SHCONBR3</v>
          </cell>
          <cell r="B333" t="str">
            <v>VAR_cap</v>
          </cell>
          <cell r="C333" t="str">
            <v>-</v>
          </cell>
          <cell r="D333"/>
          <cell r="E333">
            <v>0.186744985416335</v>
          </cell>
          <cell r="F333">
            <v>0.18674494715616494</v>
          </cell>
          <cell r="G333">
            <v>0.18674486068158919</v>
          </cell>
          <cell r="H333">
            <v>0.1996299319667309</v>
          </cell>
          <cell r="I333">
            <v>0.25318128089290759</v>
          </cell>
          <cell r="J333"/>
          <cell r="K333"/>
        </row>
        <row r="334">
          <cell r="A334" t="str">
            <v>SCOM-SHCONBR4</v>
          </cell>
          <cell r="B334" t="str">
            <v>VAR_fout</v>
          </cell>
          <cell r="C334" t="str">
            <v>SCOM-SHCON</v>
          </cell>
          <cell r="D334"/>
          <cell r="E334">
            <v>2.0432100077635283E-3</v>
          </cell>
          <cell r="F334">
            <v>1.0276056706671562E-3</v>
          </cell>
          <cell r="G334">
            <v>1.0495989033841701E-3</v>
          </cell>
          <cell r="H334">
            <v>2.7470782136330431E-3</v>
          </cell>
          <cell r="I334">
            <v>3.2697871408355428</v>
          </cell>
          <cell r="J334"/>
          <cell r="K334"/>
        </row>
        <row r="335">
          <cell r="A335" t="str">
            <v>SCOM-SHCONBR4</v>
          </cell>
          <cell r="B335" t="str">
            <v>VAR_fin</v>
          </cell>
          <cell r="C335" t="str">
            <v>CON</v>
          </cell>
          <cell r="D335"/>
          <cell r="E335">
            <v>2.0432100077635283E-3</v>
          </cell>
          <cell r="F335">
            <v>1.0276056706671562E-3</v>
          </cell>
          <cell r="G335">
            <v>1.0495989033841701E-3</v>
          </cell>
          <cell r="H335">
            <v>2.7470782136330431E-3</v>
          </cell>
          <cell r="I335">
            <v>3.2697871408355428</v>
          </cell>
          <cell r="J335"/>
          <cell r="K335"/>
        </row>
        <row r="336">
          <cell r="A336" t="str">
            <v>SCOM-SHCONBR4</v>
          </cell>
          <cell r="B336" t="str">
            <v>VAR_ncap</v>
          </cell>
          <cell r="C336" t="str">
            <v>-</v>
          </cell>
          <cell r="D336"/>
          <cell r="E336">
            <v>1.65225360034105E-4</v>
          </cell>
          <cell r="F336">
            <v>1.0601651520332001E-7</v>
          </cell>
          <cell r="G336">
            <v>9.5078244095635695E-8</v>
          </cell>
          <cell r="H336">
            <v>6.9962005554998497E-5</v>
          </cell>
          <cell r="I336">
            <v>0.25250740378594</v>
          </cell>
          <cell r="J336"/>
          <cell r="K336"/>
        </row>
        <row r="337">
          <cell r="A337" t="str">
            <v>SCOM-SHCONBR4</v>
          </cell>
          <cell r="B337" t="str">
            <v>VAR_cap</v>
          </cell>
          <cell r="C337" t="str">
            <v>-</v>
          </cell>
          <cell r="D337"/>
          <cell r="E337">
            <v>1.65225360034105E-4</v>
          </cell>
          <cell r="F337">
            <v>1.6522807155312547E-4</v>
          </cell>
          <cell r="G337">
            <v>1.6517142335455178E-4</v>
          </cell>
          <cell r="H337">
            <v>2.358251341466779E-4</v>
          </cell>
          <cell r="I337">
            <v>0.25267362107380081</v>
          </cell>
          <cell r="J337"/>
          <cell r="K337"/>
        </row>
        <row r="338">
          <cell r="A338" t="str">
            <v>RHEM-SHNGABR</v>
          </cell>
          <cell r="B338" t="str">
            <v>VAR_fout</v>
          </cell>
          <cell r="C338" t="str">
            <v>CO2_R</v>
          </cell>
          <cell r="D338">
            <v>1127.9633014803201</v>
          </cell>
          <cell r="E338">
            <v>1140.3736780833301</v>
          </cell>
          <cell r="F338">
            <v>1264.6600169736901</v>
          </cell>
          <cell r="G338">
            <v>923.35065396921402</v>
          </cell>
          <cell r="H338">
            <v>243.33168616409401</v>
          </cell>
          <cell r="I338">
            <v>89.539146576855899</v>
          </cell>
          <cell r="J338"/>
          <cell r="K338"/>
        </row>
        <row r="339">
          <cell r="A339" t="str">
            <v>RHEM-SHNGABR</v>
          </cell>
          <cell r="B339" t="str">
            <v>VAR_fout</v>
          </cell>
          <cell r="C339" t="str">
            <v>RHEM-SHNGA</v>
          </cell>
          <cell r="D339">
            <v>18.999381851175542</v>
          </cell>
          <cell r="E339">
            <v>19.208421882609347</v>
          </cell>
          <cell r="F339">
            <v>21.038354744687702</v>
          </cell>
          <cell r="G339">
            <v>15.389638851410096</v>
          </cell>
          <cell r="H339">
            <v>4.0556496657822594</v>
          </cell>
          <cell r="I339">
            <v>1.4923638413616467</v>
          </cell>
          <cell r="J339"/>
        </row>
        <row r="340">
          <cell r="A340" t="str">
            <v>RHEM-SHNGABR</v>
          </cell>
          <cell r="B340" t="str">
            <v>VAR_fin</v>
          </cell>
          <cell r="C340" t="str">
            <v>RNGA</v>
          </cell>
          <cell r="D340">
            <v>19.999349317026862</v>
          </cell>
          <cell r="E340">
            <v>20.219391455378268</v>
          </cell>
          <cell r="F340">
            <v>22.423049946341997</v>
          </cell>
          <cell r="G340">
            <v>16.371465495908058</v>
          </cell>
          <cell r="H340">
            <v>4.3143915986541579</v>
          </cell>
          <cell r="I340">
            <v>1.5875735208662405</v>
          </cell>
          <cell r="J340"/>
          <cell r="K340"/>
        </row>
        <row r="341">
          <cell r="A341" t="str">
            <v>RHEM-SHNGABR</v>
          </cell>
          <cell r="B341" t="str">
            <v>VAR_ncap</v>
          </cell>
          <cell r="C341" t="str">
            <v>-</v>
          </cell>
          <cell r="D341"/>
          <cell r="E341">
            <v>1.6736002890160698E-2</v>
          </cell>
          <cell r="F341">
            <v>0.12205983450098</v>
          </cell>
          <cell r="G341">
            <v>7.8726622768194004E-7</v>
          </cell>
          <cell r="H341">
            <v>5.5178392152790301E-2</v>
          </cell>
          <cell r="I341">
            <v>3.6273276079044598E-7</v>
          </cell>
          <cell r="J341"/>
          <cell r="K341"/>
        </row>
        <row r="342">
          <cell r="A342" t="str">
            <v>RHEM-SHNGABR</v>
          </cell>
          <cell r="B342" t="str">
            <v>VAR_cap</v>
          </cell>
          <cell r="C342" t="str">
            <v>-</v>
          </cell>
          <cell r="D342">
            <v>1.34683498965227</v>
          </cell>
          <cell r="E342">
            <v>1.3635708086646416</v>
          </cell>
          <cell r="F342">
            <v>1.4856303097767409</v>
          </cell>
          <cell r="G342">
            <v>1.4855917032642758</v>
          </cell>
          <cell r="H342">
            <v>0.2869402025511219</v>
          </cell>
          <cell r="I342">
            <v>0.12892549070827958</v>
          </cell>
          <cell r="J342"/>
        </row>
        <row r="343">
          <cell r="A343" t="str">
            <v>RHNS-SHCONBR1</v>
          </cell>
          <cell r="B343" t="str">
            <v>VAR_ncap</v>
          </cell>
          <cell r="C343" t="str">
            <v>-</v>
          </cell>
          <cell r="D343"/>
          <cell r="F343">
            <v>375</v>
          </cell>
          <cell r="G343">
            <v>7.50195762065339</v>
          </cell>
          <cell r="H343"/>
          <cell r="I343"/>
          <cell r="J343"/>
        </row>
        <row r="344">
          <cell r="A344" t="str">
            <v>RHNS-SHCONBR1</v>
          </cell>
          <cell r="B344" t="str">
            <v>VAR_cap</v>
          </cell>
          <cell r="C344" t="str">
            <v>-</v>
          </cell>
          <cell r="D344"/>
          <cell r="F344">
            <v>375</v>
          </cell>
          <cell r="G344">
            <v>18.511940608722</v>
          </cell>
          <cell r="H344">
            <v>10.008077518281027</v>
          </cell>
          <cell r="I344">
            <v>4.499068934587001</v>
          </cell>
          <cell r="J344"/>
        </row>
        <row r="345">
          <cell r="A345" t="str">
            <v>SCOM-SHCONBR5</v>
          </cell>
          <cell r="B345" t="str">
            <v>VAR_fout</v>
          </cell>
          <cell r="C345" t="str">
            <v>SCOM-SHCON</v>
          </cell>
          <cell r="D345"/>
          <cell r="E345">
            <v>1.5907892214682326E-3</v>
          </cell>
          <cell r="F345">
            <v>8.0713910234708362E-4</v>
          </cell>
          <cell r="G345">
            <v>8.2368343858894172E-4</v>
          </cell>
          <cell r="H345">
            <v>1.4528441438758015E-3</v>
          </cell>
          <cell r="I345">
            <v>0.65231999875581648</v>
          </cell>
          <cell r="J345"/>
          <cell r="K345"/>
        </row>
        <row r="346">
          <cell r="A346" t="str">
            <v>SCOM-SHCONBR5</v>
          </cell>
          <cell r="B346" t="str">
            <v>VAR_fin</v>
          </cell>
          <cell r="C346" t="str">
            <v>CON</v>
          </cell>
          <cell r="D346"/>
          <cell r="E346">
            <v>1.5907892214682326E-3</v>
          </cell>
          <cell r="F346">
            <v>8.0713910234708362E-4</v>
          </cell>
          <cell r="G346">
            <v>8.2368343858894172E-4</v>
          </cell>
          <cell r="H346">
            <v>1.4528441438758015E-3</v>
          </cell>
          <cell r="I346">
            <v>0.65231999875581648</v>
          </cell>
          <cell r="J346"/>
          <cell r="K346"/>
        </row>
        <row r="347">
          <cell r="A347" t="str">
            <v>SCOM-SHCONBR5</v>
          </cell>
          <cell r="B347" t="str">
            <v>VAR_ncap</v>
          </cell>
          <cell r="C347" t="str">
            <v>-</v>
          </cell>
          <cell r="D347"/>
          <cell r="E347">
            <v>1.3000142745169899E-4</v>
          </cell>
          <cell r="F347">
            <v>1.02774456722535E-7</v>
          </cell>
          <cell r="G347">
            <v>9.19682984941793E-8</v>
          </cell>
          <cell r="H347">
            <v>1.9939320606076101E-6</v>
          </cell>
          <cell r="I347">
            <v>5.0341845329933202E-2</v>
          </cell>
          <cell r="J347"/>
          <cell r="K347"/>
        </row>
        <row r="348">
          <cell r="A348" t="str">
            <v>SCOM-SHCONBR5</v>
          </cell>
          <cell r="B348" t="str">
            <v>VAR_cap</v>
          </cell>
          <cell r="C348" t="str">
            <v>-</v>
          </cell>
          <cell r="D348"/>
          <cell r="E348">
            <v>1.3000142745169899E-4</v>
          </cell>
          <cell r="F348">
            <v>1.3001026493112341E-4</v>
          </cell>
          <cell r="G348">
            <v>1.299611240525787E-4</v>
          </cell>
          <cell r="H348">
            <v>1.3266068773133718E-4</v>
          </cell>
          <cell r="I348">
            <v>5.041974693754419E-2</v>
          </cell>
          <cell r="J348"/>
          <cell r="K348"/>
        </row>
        <row r="349">
          <cell r="A349" t="str">
            <v>RHNS-SHCONBR2</v>
          </cell>
          <cell r="B349" t="str">
            <v>VAR_ncap</v>
          </cell>
          <cell r="C349" t="str">
            <v>-</v>
          </cell>
          <cell r="D349"/>
          <cell r="F349">
            <v>375</v>
          </cell>
          <cell r="G349">
            <v>7.50195762065316</v>
          </cell>
          <cell r="H349"/>
          <cell r="I349"/>
          <cell r="J349"/>
          <cell r="K349"/>
        </row>
        <row r="350">
          <cell r="A350" t="str">
            <v>RHNS-SHCONBR2</v>
          </cell>
          <cell r="B350" t="str">
            <v>VAR_cap</v>
          </cell>
          <cell r="C350" t="str">
            <v>-</v>
          </cell>
          <cell r="D350"/>
          <cell r="F350">
            <v>375</v>
          </cell>
          <cell r="G350">
            <v>18.511940608722</v>
          </cell>
          <cell r="H350">
            <v>10.008077518280004</v>
          </cell>
          <cell r="I350">
            <v>4.4990689345879673</v>
          </cell>
          <cell r="J350"/>
          <cell r="K350"/>
        </row>
        <row r="351">
          <cell r="A351" t="str">
            <v>RHES-SHSTG-ELCHP</v>
          </cell>
          <cell r="B351" t="str">
            <v>VAR_fout</v>
          </cell>
          <cell r="C351" t="str">
            <v>RHES-SHAELCH</v>
          </cell>
          <cell r="D351">
            <v>1.0135041075651661E-6</v>
          </cell>
          <cell r="E351">
            <v>1.4662487661722546E-6</v>
          </cell>
          <cell r="F351">
            <v>9.4276596935257653E-2</v>
          </cell>
          <cell r="G351">
            <v>0.31354065759796212</v>
          </cell>
          <cell r="H351">
            <v>0.63114340952086534</v>
          </cell>
          <cell r="I351">
            <v>1.1469363899306817</v>
          </cell>
          <cell r="J351"/>
          <cell r="K351"/>
        </row>
        <row r="352">
          <cell r="A352" t="str">
            <v>RHES-SHSTG-ELCHP</v>
          </cell>
          <cell r="B352" t="str">
            <v>VAR_fin</v>
          </cell>
          <cell r="C352" t="str">
            <v>RHES-SHAELCH</v>
          </cell>
          <cell r="D352">
            <v>4.957921975307247E-6</v>
          </cell>
          <cell r="E352">
            <v>2.3350221306549133E-6</v>
          </cell>
          <cell r="F352">
            <v>9.4278885172126389E-2</v>
          </cell>
          <cell r="G352">
            <v>0.31354607143112351</v>
          </cell>
          <cell r="H352">
            <v>0.63115701333057517</v>
          </cell>
          <cell r="I352">
            <v>1.1469638969686784</v>
          </cell>
          <cell r="J352"/>
          <cell r="K352"/>
        </row>
        <row r="353">
          <cell r="A353" t="str">
            <v>RHES-SHSTG-ELCHP</v>
          </cell>
          <cell r="B353" t="str">
            <v>VAR_ncap</v>
          </cell>
          <cell r="C353" t="str">
            <v>-</v>
          </cell>
          <cell r="D353">
            <v>5.6330731161321097E-3</v>
          </cell>
          <cell r="E353">
            <v>0.140896488444502</v>
          </cell>
          <cell r="F353">
            <v>0.13128890399613199</v>
          </cell>
          <cell r="G353">
            <v>5.4171309759533597E-2</v>
          </cell>
          <cell r="H353">
            <v>0.22693958838560799</v>
          </cell>
          <cell r="I353">
            <v>0.16587777213261301</v>
          </cell>
          <cell r="J353"/>
          <cell r="K353"/>
        </row>
        <row r="354">
          <cell r="A354" t="str">
            <v>RHES-SHSTG-ELCHP</v>
          </cell>
          <cell r="B354" t="str">
            <v>VAR_cap</v>
          </cell>
          <cell r="C354" t="str">
            <v>-</v>
          </cell>
          <cell r="D354">
            <v>5.6330731161321097E-3</v>
          </cell>
          <cell r="E354">
            <v>0.14650005999146007</v>
          </cell>
          <cell r="F354">
            <v>0.27777174293181583</v>
          </cell>
          <cell r="G354">
            <v>0.33192101247576855</v>
          </cell>
          <cell r="H354">
            <v>0.38466757255601325</v>
          </cell>
          <cell r="I354">
            <v>0.37179310626858209</v>
          </cell>
          <cell r="J354"/>
          <cell r="K354"/>
        </row>
        <row r="355">
          <cell r="A355" t="str">
            <v>SCOM-SHCONBR6</v>
          </cell>
          <cell r="B355" t="str">
            <v>VAR_fout</v>
          </cell>
          <cell r="C355" t="str">
            <v>SCOM-SHCON</v>
          </cell>
          <cell r="D355"/>
          <cell r="E355">
            <v>9.3915155347021784E-4</v>
          </cell>
          <cell r="F355">
            <v>4.8878593931233054E-4</v>
          </cell>
          <cell r="G355">
            <v>4.9743655437099591E-4</v>
          </cell>
          <cell r="H355">
            <v>8.2954712406605965E-4</v>
          </cell>
          <cell r="I355">
            <v>8.7165822072080706E-4</v>
          </cell>
          <cell r="J355"/>
          <cell r="K355"/>
        </row>
        <row r="356">
          <cell r="A356" t="str">
            <v>SCOM-SHCONBR6</v>
          </cell>
          <cell r="B356" t="str">
            <v>VAR_fin</v>
          </cell>
          <cell r="C356" t="str">
            <v>CON</v>
          </cell>
          <cell r="D356"/>
          <cell r="E356">
            <v>9.3915155347021784E-4</v>
          </cell>
          <cell r="F356">
            <v>4.8878593931233054E-4</v>
          </cell>
          <cell r="G356">
            <v>4.9743655437099591E-4</v>
          </cell>
          <cell r="H356">
            <v>8.2954712406605965E-4</v>
          </cell>
          <cell r="I356">
            <v>8.7165822072080706E-4</v>
          </cell>
          <cell r="J356"/>
          <cell r="K356"/>
        </row>
        <row r="357">
          <cell r="A357" t="str">
            <v>SCOM-SHCONBR6</v>
          </cell>
          <cell r="B357" t="str">
            <v>VAR_ncap</v>
          </cell>
          <cell r="C357" t="str">
            <v>-</v>
          </cell>
          <cell r="D357"/>
          <cell r="E357">
            <v>7.8916420566908896E-5</v>
          </cell>
          <cell r="F357">
            <v>9.4163394092593401E-8</v>
          </cell>
          <cell r="G357">
            <v>8.4221170871275194E-8</v>
          </cell>
          <cell r="H357">
            <v>1.2516617996305699E-6</v>
          </cell>
          <cell r="I357">
            <v>2.9259950356405299E-5</v>
          </cell>
          <cell r="J357"/>
          <cell r="K357"/>
        </row>
        <row r="358">
          <cell r="A358" t="str">
            <v>SCOM-SHCONBR6</v>
          </cell>
          <cell r="B358" t="str">
            <v>VAR_cap</v>
          </cell>
          <cell r="C358" t="str">
            <v>-</v>
          </cell>
          <cell r="E358">
            <v>7.8916420566908896E-5</v>
          </cell>
          <cell r="F358">
            <v>7.8936568690691195E-5</v>
          </cell>
          <cell r="G358">
            <v>7.8905581752920296E-5</v>
          </cell>
          <cell r="H358">
            <v>8.0850146919975074E-5</v>
          </cell>
          <cell r="I358">
            <v>7.6891373878676682E-5</v>
          </cell>
          <cell r="J358"/>
          <cell r="K358"/>
        </row>
        <row r="359">
          <cell r="A359" t="str">
            <v>RHNM-SHDEM</v>
          </cell>
          <cell r="B359" t="str">
            <v>VAR_fout</v>
          </cell>
          <cell r="C359" t="str">
            <v>RHNM-SHD</v>
          </cell>
          <cell r="D359"/>
          <cell r="E359">
            <v>1.20715021831532</v>
          </cell>
          <cell r="F359">
            <v>1.3893309251263504</v>
          </cell>
          <cell r="G359">
            <v>2.6404581859228986</v>
          </cell>
          <cell r="H359">
            <v>4.1258101550185078</v>
          </cell>
          <cell r="I359">
            <v>4.9580913072765913</v>
          </cell>
          <cell r="J359"/>
          <cell r="K359"/>
        </row>
        <row r="360">
          <cell r="A360" t="str">
            <v>RHNM-SHDEM</v>
          </cell>
          <cell r="B360" t="str">
            <v>VAR_fin</v>
          </cell>
          <cell r="C360" t="str">
            <v>RHNM-SHLFO</v>
          </cell>
          <cell r="D360"/>
          <cell r="E360">
            <v>3.3414839271859127E-2</v>
          </cell>
          <cell r="F360">
            <v>5.4703407018355708E-2</v>
          </cell>
          <cell r="G360">
            <v>8.6940634544055234E-2</v>
          </cell>
          <cell r="H360">
            <v>5.879368807675444E-2</v>
          </cell>
          <cell r="I360">
            <v>7.4856088271302326E-5</v>
          </cell>
          <cell r="J360"/>
          <cell r="K360"/>
        </row>
        <row r="361">
          <cell r="A361" t="str">
            <v>RHNM-SHDEM</v>
          </cell>
          <cell r="B361" t="str">
            <v>VAR_fin</v>
          </cell>
          <cell r="C361" t="str">
            <v>RHNM-SHLTHD</v>
          </cell>
          <cell r="D361"/>
          <cell r="E361">
            <v>0.24149098721999326</v>
          </cell>
          <cell r="F361">
            <v>9.8888974760681758E-2</v>
          </cell>
          <cell r="G361">
            <v>0.27653303324322676</v>
          </cell>
          <cell r="H361">
            <v>0.3364224806557819</v>
          </cell>
          <cell r="I361">
            <v>0.39251875387134894</v>
          </cell>
          <cell r="J361"/>
          <cell r="K361"/>
        </row>
        <row r="362">
          <cell r="A362" t="str">
            <v>RHNM-SHDEM</v>
          </cell>
          <cell r="B362" t="str">
            <v>VAR_fin</v>
          </cell>
          <cell r="C362" t="str">
            <v>RHNM-SHCON</v>
          </cell>
          <cell r="D362"/>
          <cell r="F362">
            <v>1.397807156142683E-3</v>
          </cell>
          <cell r="G362">
            <v>1.4065722473426108E-3</v>
          </cell>
          <cell r="H362">
            <v>4.7547539600334915E-3</v>
          </cell>
          <cell r="I362">
            <v>4.7369861372943802E-3</v>
          </cell>
          <cell r="J362"/>
          <cell r="K362"/>
        </row>
        <row r="363">
          <cell r="A363" t="str">
            <v>RHNM-SHDEM</v>
          </cell>
          <cell r="B363" t="str">
            <v>VAR_fin</v>
          </cell>
          <cell r="C363" t="str">
            <v>RHNM-SHELCB</v>
          </cell>
          <cell r="D363"/>
          <cell r="E363">
            <v>0.11420003407545359</v>
          </cell>
          <cell r="F363">
            <v>5.8074862705586303E-4</v>
          </cell>
          <cell r="G363">
            <v>1.3326561035171978E-3</v>
          </cell>
          <cell r="H363">
            <v>1.6802457011095902E-3</v>
          </cell>
          <cell r="I363">
            <v>1.8606907685739637E-3</v>
          </cell>
          <cell r="J363"/>
          <cell r="K363"/>
        </row>
        <row r="364">
          <cell r="A364" t="str">
            <v>RHNM-SHDEM</v>
          </cell>
          <cell r="B364" t="str">
            <v>VAR_fin</v>
          </cell>
          <cell r="C364" t="str">
            <v>RHNM-SHWOD</v>
          </cell>
          <cell r="D364"/>
          <cell r="E364">
            <v>6.876714470992483E-2</v>
          </cell>
          <cell r="F364">
            <v>6.3812501594303309E-2</v>
          </cell>
          <cell r="G364">
            <v>0.12111332829126559</v>
          </cell>
          <cell r="H364">
            <v>0.1547646660311891</v>
          </cell>
          <cell r="I364">
            <v>0.16467227926716008</v>
          </cell>
          <cell r="J364"/>
        </row>
        <row r="365">
          <cell r="A365" t="str">
            <v>RHNM-SHDEM</v>
          </cell>
          <cell r="B365" t="str">
            <v>VAR_fin</v>
          </cell>
          <cell r="C365" t="str">
            <v>RHNM-SHELCH</v>
          </cell>
          <cell r="D365"/>
          <cell r="E365">
            <v>3.3548760540052638E-2</v>
          </cell>
          <cell r="F365">
            <v>0.81941902202924866</v>
          </cell>
          <cell r="G365">
            <v>1.2839119308570814</v>
          </cell>
          <cell r="H365">
            <v>2.2208331688280429</v>
          </cell>
          <cell r="I365">
            <v>2.8917664583241449</v>
          </cell>
          <cell r="J365"/>
        </row>
        <row r="366">
          <cell r="A366" t="str">
            <v>RHNM-SHDEM</v>
          </cell>
          <cell r="B366" t="str">
            <v>VAR_fin</v>
          </cell>
          <cell r="C366" t="str">
            <v>RHNM-SHNST</v>
          </cell>
          <cell r="D366"/>
          <cell r="E366">
            <v>6.5905360729403084E-3</v>
          </cell>
          <cell r="F366">
            <v>1.2981485130809047E-4</v>
          </cell>
          <cell r="G366">
            <v>5.9712049657888567E-5</v>
          </cell>
          <cell r="H366">
            <v>1.7912937099792692E-4</v>
          </cell>
          <cell r="I366">
            <v>6.5214546148381297E-5</v>
          </cell>
          <cell r="J366"/>
          <cell r="K366"/>
        </row>
        <row r="367">
          <cell r="A367" t="str">
            <v>RHNM-SHDEM</v>
          </cell>
          <cell r="B367" t="str">
            <v>VAR_fin</v>
          </cell>
          <cell r="C367" t="str">
            <v>RHNM-SHPLT</v>
          </cell>
          <cell r="D367"/>
          <cell r="E367">
            <v>6.4208332048546132E-2</v>
          </cell>
          <cell r="F367">
            <v>9.9221277770569025E-3</v>
          </cell>
          <cell r="G367">
            <v>2.4207377424589331E-2</v>
          </cell>
          <cell r="H367">
            <v>3.1929070406463325E-2</v>
          </cell>
          <cell r="I367">
            <v>3.5971420855618753E-2</v>
          </cell>
          <cell r="J367"/>
          <cell r="K367"/>
        </row>
        <row r="368">
          <cell r="A368" t="str">
            <v>RHNM-SHDEM</v>
          </cell>
          <cell r="B368" t="str">
            <v>VAR_fin</v>
          </cell>
          <cell r="C368" t="str">
            <v>RHNM-SHLTHC-NGA</v>
          </cell>
          <cell r="D368"/>
          <cell r="E368">
            <v>3.3931920847622053E-2</v>
          </cell>
          <cell r="F368">
            <v>3.8499339336509913E-5</v>
          </cell>
          <cell r="G368">
            <v>1.2687294931232877E-4</v>
          </cell>
          <cell r="H368">
            <v>7.4524784718133524E-5</v>
          </cell>
          <cell r="I368">
            <v>1.8566958510814527E-5</v>
          </cell>
          <cell r="J368"/>
        </row>
        <row r="369">
          <cell r="A369" t="str">
            <v>RHNM-SHDEM</v>
          </cell>
          <cell r="B369" t="str">
            <v>VAR_fin</v>
          </cell>
          <cell r="C369" t="str">
            <v>RHNM-SHSOL</v>
          </cell>
          <cell r="E369">
            <v>4.02752936972657E-2</v>
          </cell>
          <cell r="F369">
            <v>3.4111793308439392E-4</v>
          </cell>
          <cell r="G369">
            <v>3.7742338565368411E-4</v>
          </cell>
          <cell r="H369">
            <v>4.6533547919979892E-4</v>
          </cell>
          <cell r="I369">
            <v>4.9225538123965045E-4</v>
          </cell>
          <cell r="J369"/>
          <cell r="K369"/>
        </row>
        <row r="370">
          <cell r="A370" t="str">
            <v>RHNM-SHDEM</v>
          </cell>
          <cell r="B370" t="str">
            <v>VAR_fin</v>
          </cell>
          <cell r="C370" t="str">
            <v>RHNM-SHLTHC-WOD</v>
          </cell>
          <cell r="E370">
            <v>7.3002999497418439E-3</v>
          </cell>
          <cell r="F370">
            <v>4.1496058886619116E-5</v>
          </cell>
          <cell r="G370">
            <v>3.6924014567509363E-5</v>
          </cell>
          <cell r="H370">
            <v>6.478913561634472E-6</v>
          </cell>
          <cell r="I370">
            <v>1.0166787250927933E-4</v>
          </cell>
          <cell r="J370"/>
          <cell r="K370"/>
        </row>
        <row r="371">
          <cell r="A371" t="str">
            <v>RHNM-SHDEM</v>
          </cell>
          <cell r="B371" t="str">
            <v>VAR_fin</v>
          </cell>
          <cell r="C371" t="str">
            <v>RHNM-SHNGAH</v>
          </cell>
          <cell r="E371">
            <v>8.0613515363354236E-3</v>
          </cell>
          <cell r="F371">
            <v>0.21527126736337776</v>
          </cell>
          <cell r="G371">
            <v>0.68989495230060893</v>
          </cell>
          <cell r="H371">
            <v>1.2275592198595437</v>
          </cell>
          <cell r="I371">
            <v>1.4658793090950204</v>
          </cell>
          <cell r="J371"/>
          <cell r="K371"/>
        </row>
        <row r="372">
          <cell r="A372" t="str">
            <v>RHNM-SHDEM</v>
          </cell>
          <cell r="B372" t="str">
            <v>VAR_fin</v>
          </cell>
          <cell r="C372" t="str">
            <v>RHNM-SHNGA</v>
          </cell>
          <cell r="E372">
            <v>0.55543704776534819</v>
          </cell>
          <cell r="F372">
            <v>0.12492285167371475</v>
          </cell>
          <cell r="G372">
            <v>0.15463360473961271</v>
          </cell>
          <cell r="H372">
            <v>8.8446505681628276E-2</v>
          </cell>
          <cell r="I372">
            <v>4.4787009855280485E-6</v>
          </cell>
          <cell r="J372"/>
          <cell r="K372"/>
        </row>
        <row r="373">
          <cell r="A373" t="str">
            <v>SCOM-STG-ELCSPEC</v>
          </cell>
          <cell r="B373" t="str">
            <v>VAR_fout</v>
          </cell>
          <cell r="C373" t="str">
            <v>SCOM-ELS</v>
          </cell>
          <cell r="D373"/>
          <cell r="E373">
            <v>1.5216923839422334E-2</v>
          </cell>
          <cell r="F373">
            <v>1.5478014497278404E-2</v>
          </cell>
          <cell r="G373">
            <v>1.592669394504034E-2</v>
          </cell>
          <cell r="H373">
            <v>6.7113237103139489E-2</v>
          </cell>
          <cell r="I373">
            <v>1.8196430877210863</v>
          </cell>
          <cell r="J373"/>
        </row>
        <row r="374">
          <cell r="A374" t="str">
            <v>SCOM-STG-ELCSPEC</v>
          </cell>
          <cell r="B374" t="str">
            <v>VAR_fin</v>
          </cell>
          <cell r="C374" t="str">
            <v>SCOM-ELS</v>
          </cell>
          <cell r="E374">
            <v>1.5218307652069493E-2</v>
          </cell>
          <cell r="F374">
            <v>1.5480264994669436E-2</v>
          </cell>
          <cell r="G374">
            <v>1.5927731804525714E-2</v>
          </cell>
          <cell r="H374">
            <v>6.7114361450915219E-2</v>
          </cell>
          <cell r="I374">
            <v>1.8196443363957218</v>
          </cell>
          <cell r="J374"/>
          <cell r="K374"/>
        </row>
        <row r="375">
          <cell r="A375" t="str">
            <v>SCOM-STG-ELCSPEC</v>
          </cell>
          <cell r="B375" t="str">
            <v>VAR_ncap</v>
          </cell>
          <cell r="C375" t="str">
            <v>-</v>
          </cell>
          <cell r="E375">
            <v>5.7767587730036098E-4</v>
          </cell>
          <cell r="F375">
            <v>9.3516522713656302E-6</v>
          </cell>
          <cell r="G375">
            <v>4.5048539604924799E-6</v>
          </cell>
          <cell r="H375">
            <v>1.8718740937704601E-3</v>
          </cell>
          <cell r="I375">
            <v>7.9507544219005799E-2</v>
          </cell>
          <cell r="J375"/>
          <cell r="K375"/>
        </row>
        <row r="376">
          <cell r="A376" t="str">
            <v>SCOM-STG-ELCSPEC</v>
          </cell>
          <cell r="B376" t="str">
            <v>VAR_cap</v>
          </cell>
          <cell r="C376" t="str">
            <v>-</v>
          </cell>
          <cell r="E376">
            <v>5.7767587730036098E-4</v>
          </cell>
          <cell r="F376">
            <v>5.8670005478683122E-4</v>
          </cell>
          <cell r="G376">
            <v>5.9049642034745447E-4</v>
          </cell>
          <cell r="H376">
            <v>2.3564406481929858E-3</v>
          </cell>
          <cell r="I376">
            <v>8.1518572620697616E-2</v>
          </cell>
          <cell r="J376"/>
          <cell r="K376"/>
        </row>
        <row r="377">
          <cell r="A377" t="str">
            <v>RHNS-SHCONBR3</v>
          </cell>
          <cell r="B377" t="str">
            <v>VAR_ncap</v>
          </cell>
          <cell r="C377" t="str">
            <v>-</v>
          </cell>
          <cell r="D377"/>
          <cell r="F377">
            <v>375</v>
          </cell>
          <cell r="G377">
            <v>7.50195762065339</v>
          </cell>
          <cell r="H377"/>
          <cell r="I377"/>
          <cell r="J377"/>
          <cell r="K377"/>
        </row>
        <row r="378">
          <cell r="A378" t="str">
            <v>RHNS-SHCONBR3</v>
          </cell>
          <cell r="B378" t="str">
            <v>VAR_cap</v>
          </cell>
          <cell r="C378" t="str">
            <v>-</v>
          </cell>
          <cell r="F378">
            <v>375</v>
          </cell>
          <cell r="G378">
            <v>18.511940608722</v>
          </cell>
          <cell r="H378">
            <v>10.008077518281027</v>
          </cell>
          <cell r="I378">
            <v>4.499068934587001</v>
          </cell>
          <cell r="J378"/>
          <cell r="K378"/>
        </row>
        <row r="379">
          <cell r="A379" t="str">
            <v>SCOM-SHCONBR7</v>
          </cell>
          <cell r="B379" t="str">
            <v>VAR_fout</v>
          </cell>
          <cell r="C379" t="str">
            <v>SCOM-SHCON</v>
          </cell>
          <cell r="D379"/>
          <cell r="E379">
            <v>5.6670610386779603E-4</v>
          </cell>
          <cell r="F379">
            <v>3.0533398095553612E-4</v>
          </cell>
          <cell r="G379">
            <v>3.0953432232949288E-4</v>
          </cell>
          <cell r="H379">
            <v>4.7693991226772941E-4</v>
          </cell>
          <cell r="I379">
            <v>3.7059189276951823E-4</v>
          </cell>
          <cell r="J379"/>
          <cell r="K379"/>
        </row>
        <row r="380">
          <cell r="A380" t="str">
            <v>SCOM-SHCONBR7</v>
          </cell>
          <cell r="B380" t="str">
            <v>VAR_fin</v>
          </cell>
          <cell r="C380" t="str">
            <v>CON</v>
          </cell>
          <cell r="E380">
            <v>5.6670610386779603E-4</v>
          </cell>
          <cell r="F380">
            <v>3.0533398095553612E-4</v>
          </cell>
          <cell r="G380">
            <v>3.0953432232949288E-4</v>
          </cell>
          <cell r="H380">
            <v>4.7693991226772941E-4</v>
          </cell>
          <cell r="I380">
            <v>3.7059189276951823E-4</v>
          </cell>
          <cell r="J380"/>
          <cell r="K380"/>
        </row>
        <row r="381">
          <cell r="A381" t="str">
            <v>SCOM-SHCONBR7</v>
          </cell>
          <cell r="B381" t="str">
            <v>VAR_ncap</v>
          </cell>
          <cell r="C381" t="str">
            <v>-</v>
          </cell>
          <cell r="E381">
            <v>4.9232448530360001E-5</v>
          </cell>
          <cell r="F381">
            <v>8.44144298230072E-8</v>
          </cell>
          <cell r="G381">
            <v>7.4785736650280297E-8</v>
          </cell>
          <cell r="H381"/>
          <cell r="I381">
            <v>6.34656939956599E-6</v>
          </cell>
          <cell r="J381"/>
          <cell r="K381"/>
        </row>
        <row r="382">
          <cell r="A382" t="str">
            <v>SCOM-SHCONBR7</v>
          </cell>
          <cell r="B382" t="str">
            <v>VAR_cap</v>
          </cell>
          <cell r="C382" t="str">
            <v>-</v>
          </cell>
          <cell r="D382"/>
          <cell r="E382">
            <v>4.9232448530360001E-5</v>
          </cell>
          <cell r="F382">
            <v>4.9260413411710904E-5</v>
          </cell>
          <cell r="G382">
            <v>4.9247340745711877E-5</v>
          </cell>
          <cell r="H382">
            <v>4.9980198059867815E-5</v>
          </cell>
          <cell r="I382">
            <v>3.5618025615124398E-5</v>
          </cell>
          <cell r="J382"/>
          <cell r="K382"/>
        </row>
        <row r="383">
          <cell r="A383" t="str">
            <v>RHNS-SHCONBR4</v>
          </cell>
          <cell r="B383" t="str">
            <v>VAR_ncap</v>
          </cell>
          <cell r="C383" t="str">
            <v>-</v>
          </cell>
          <cell r="F383">
            <v>375</v>
          </cell>
          <cell r="G383">
            <v>7.50195762065316</v>
          </cell>
          <cell r="H383"/>
          <cell r="I383"/>
          <cell r="J383"/>
          <cell r="K383"/>
        </row>
        <row r="384">
          <cell r="A384" t="str">
            <v>RHNS-SHCONBR4</v>
          </cell>
          <cell r="B384" t="str">
            <v>VAR_cap</v>
          </cell>
          <cell r="C384" t="str">
            <v>-</v>
          </cell>
          <cell r="F384">
            <v>375</v>
          </cell>
          <cell r="G384">
            <v>18.511940608722</v>
          </cell>
          <cell r="H384">
            <v>10.008077518280004</v>
          </cell>
          <cell r="I384">
            <v>4.4990689345879673</v>
          </cell>
          <cell r="J384"/>
          <cell r="K384"/>
        </row>
        <row r="385">
          <cell r="A385" t="str">
            <v>SCOM-SHCONBR8</v>
          </cell>
          <cell r="B385" t="str">
            <v>VAR_fout</v>
          </cell>
          <cell r="C385" t="str">
            <v>SCOM-SHCON</v>
          </cell>
          <cell r="D385"/>
          <cell r="E385">
            <v>2.0111974457323497E-4</v>
          </cell>
          <cell r="F385">
            <v>1.2043596213625348E-4</v>
          </cell>
          <cell r="G385">
            <v>1.2047114962500915E-4</v>
          </cell>
          <cell r="H385">
            <v>1.6133908604729991E-4</v>
          </cell>
          <cell r="I385">
            <v>1.0935089003450026E-4</v>
          </cell>
          <cell r="J385"/>
          <cell r="K385"/>
        </row>
        <row r="386">
          <cell r="A386" t="str">
            <v>SCOM-SHCONBR8</v>
          </cell>
          <cell r="B386" t="str">
            <v>VAR_fin</v>
          </cell>
          <cell r="C386" t="str">
            <v>CON</v>
          </cell>
          <cell r="D386"/>
          <cell r="E386">
            <v>2.0111974457323497E-4</v>
          </cell>
          <cell r="F386">
            <v>1.2043596213625348E-4</v>
          </cell>
          <cell r="G386">
            <v>1.2047114962500915E-4</v>
          </cell>
          <cell r="H386">
            <v>1.6133908604729991E-4</v>
          </cell>
          <cell r="I386">
            <v>1.0935089003450026E-4</v>
          </cell>
          <cell r="J386"/>
        </row>
        <row r="387">
          <cell r="A387" t="str">
            <v>SCOM-SHCONBR8</v>
          </cell>
          <cell r="B387" t="str">
            <v>VAR_ncap</v>
          </cell>
          <cell r="C387" t="str">
            <v>-</v>
          </cell>
          <cell r="E387">
            <v>1.8908592572806802E-5</v>
          </cell>
          <cell r="F387">
            <v>6.3344112248041407E-8</v>
          </cell>
          <cell r="G387">
            <v>5.1207793381566897E-8</v>
          </cell>
          <cell r="H387"/>
          <cell r="I387">
            <v>4.5430281992498401E-7</v>
          </cell>
          <cell r="J387"/>
        </row>
        <row r="388">
          <cell r="A388" t="str">
            <v>SCOM-SHCONBR8</v>
          </cell>
          <cell r="B388" t="str">
            <v>VAR_cap</v>
          </cell>
          <cell r="C388" t="str">
            <v>-</v>
          </cell>
          <cell r="E388">
            <v>1.8908592572806802E-5</v>
          </cell>
          <cell r="F388">
            <v>1.8942095518795872E-5</v>
          </cell>
          <cell r="G388">
            <v>1.8951763841067673E-5</v>
          </cell>
          <cell r="H388">
            <v>1.9625505479761546E-5</v>
          </cell>
          <cell r="I388">
            <v>1.2138965544181659E-5</v>
          </cell>
          <cell r="J388"/>
        </row>
        <row r="389">
          <cell r="A389" t="str">
            <v>ITOT-ELCSPEC</v>
          </cell>
          <cell r="B389" t="str">
            <v>VAR_fout</v>
          </cell>
          <cell r="C389" t="str">
            <v>ITOT-ELS</v>
          </cell>
          <cell r="D389">
            <v>48.063397652170998</v>
          </cell>
          <cell r="E389">
            <v>49.911498278549125</v>
          </cell>
          <cell r="F389">
            <v>51.499263537761642</v>
          </cell>
          <cell r="G389">
            <v>52.949125107103953</v>
          </cell>
          <cell r="H389">
            <v>54.559287489748165</v>
          </cell>
          <cell r="I389">
            <v>55.82961756421772</v>
          </cell>
          <cell r="J389"/>
          <cell r="K389"/>
        </row>
        <row r="390">
          <cell r="A390" t="str">
            <v>ITOT-ELCSPEC</v>
          </cell>
          <cell r="B390" t="str">
            <v>VAR_fin</v>
          </cell>
          <cell r="C390" t="str">
            <v>ITOT_ELC</v>
          </cell>
          <cell r="D390">
            <v>48.063397652170998</v>
          </cell>
          <cell r="E390">
            <v>49.911498278549125</v>
          </cell>
          <cell r="F390">
            <v>51.499263537761642</v>
          </cell>
          <cell r="G390">
            <v>52.949125107103953</v>
          </cell>
          <cell r="H390">
            <v>54.559287489748165</v>
          </cell>
          <cell r="I390">
            <v>55.82961756421772</v>
          </cell>
          <cell r="J390"/>
          <cell r="K390"/>
        </row>
        <row r="391">
          <cell r="A391" t="str">
            <v>ITOT-ELCSPEC</v>
          </cell>
          <cell r="B391" t="str">
            <v>VAR_ncap</v>
          </cell>
          <cell r="C391" t="str">
            <v>-</v>
          </cell>
          <cell r="D391">
            <v>8.34994436010673E-2</v>
          </cell>
          <cell r="E391">
            <v>0.100505003452019</v>
          </cell>
          <cell r="F391">
            <v>8.63483833658934E-2</v>
          </cell>
          <cell r="G391">
            <v>7.8848794619820306E-2</v>
          </cell>
          <cell r="H391">
            <v>2.2210857342905201E-2</v>
          </cell>
          <cell r="I391">
            <v>2.6107902237655001</v>
          </cell>
          <cell r="J391"/>
          <cell r="K391"/>
        </row>
        <row r="392">
          <cell r="A392" t="str">
            <v>ITOT-ELCSPEC</v>
          </cell>
          <cell r="B392" t="str">
            <v>VAR_cap</v>
          </cell>
          <cell r="C392" t="str">
            <v>-</v>
          </cell>
          <cell r="D392">
            <v>2.6138266756337774</v>
          </cell>
          <cell r="E392">
            <v>2.714331222515332</v>
          </cell>
          <cell r="F392">
            <v>2.8006782558903431</v>
          </cell>
          <cell r="G392">
            <v>2.8795248258344577</v>
          </cell>
          <cell r="H392">
            <v>2.9670902881015171</v>
          </cell>
          <cell r="I392">
            <v>3.0361738500196713</v>
          </cell>
          <cell r="J392"/>
          <cell r="K392"/>
        </row>
        <row r="393">
          <cell r="A393" t="str">
            <v>RHNM-SHLTHDH</v>
          </cell>
          <cell r="B393" t="str">
            <v>VAR_fout</v>
          </cell>
          <cell r="C393" t="str">
            <v>RHNM-SHLTHD</v>
          </cell>
          <cell r="D393"/>
          <cell r="E393">
            <v>0.3465891077542993</v>
          </cell>
          <cell r="F393">
            <v>9.9191972277534485E-2</v>
          </cell>
          <cell r="G393">
            <v>0.27684605009003993</v>
          </cell>
          <cell r="H393">
            <v>0.33676741636459195</v>
          </cell>
          <cell r="I393">
            <v>0.39298049595299023</v>
          </cell>
          <cell r="J393"/>
          <cell r="K393"/>
        </row>
        <row r="394">
          <cell r="A394" t="str">
            <v>RHNM-SHLTHDH</v>
          </cell>
          <cell r="B394" t="str">
            <v>VAR_fin</v>
          </cell>
          <cell r="C394" t="str">
            <v>RHNMLTHDHC</v>
          </cell>
          <cell r="E394">
            <v>0.3465891077542993</v>
          </cell>
          <cell r="F394">
            <v>9.9191972277534485E-2</v>
          </cell>
          <cell r="G394">
            <v>0.27684605009003993</v>
          </cell>
          <cell r="H394">
            <v>0.33676741636459195</v>
          </cell>
          <cell r="I394">
            <v>0.39298049595299023</v>
          </cell>
          <cell r="J394"/>
          <cell r="K394"/>
        </row>
        <row r="395">
          <cell r="A395" t="str">
            <v>RHNM-SHLTHDH</v>
          </cell>
          <cell r="B395" t="str">
            <v>VAR_fin</v>
          </cell>
          <cell r="C395" t="str">
            <v>RHNM_LTH_DH</v>
          </cell>
          <cell r="E395">
            <v>0.35009000783262539</v>
          </cell>
          <cell r="F395">
            <v>0.10964663559505242</v>
          </cell>
          <cell r="G395">
            <v>0.30501993739066274</v>
          </cell>
          <cell r="H395">
            <v>0.370512858482139</v>
          </cell>
          <cell r="I395">
            <v>0.43235871348561955</v>
          </cell>
          <cell r="J395"/>
          <cell r="K395"/>
        </row>
        <row r="396">
          <cell r="A396" t="str">
            <v>RHNM-SHLTHDH</v>
          </cell>
          <cell r="B396" t="str">
            <v>VAR_ncap</v>
          </cell>
          <cell r="C396" t="str">
            <v>-</v>
          </cell>
          <cell r="D396"/>
          <cell r="E396">
            <v>3.2910278817413902E-2</v>
          </cell>
          <cell r="F396">
            <v>1.17008327641108E-2</v>
          </cell>
          <cell r="G396">
            <v>1.20090442629471E-2</v>
          </cell>
          <cell r="H396">
            <v>1.07013235683591E-2</v>
          </cell>
          <cell r="I396">
            <v>1.35916771292808E-2</v>
          </cell>
          <cell r="J396"/>
          <cell r="K396"/>
        </row>
        <row r="397">
          <cell r="A397" t="str">
            <v>RHNM-SHLTHDH</v>
          </cell>
          <cell r="B397" t="str">
            <v>VAR_cap</v>
          </cell>
          <cell r="C397" t="str">
            <v>-</v>
          </cell>
          <cell r="E397">
            <v>3.2910278817413902E-2</v>
          </cell>
          <cell r="F397">
            <v>2.07742565262093E-2</v>
          </cell>
          <cell r="G397">
            <v>2.4268847358200903E-2</v>
          </cell>
          <cell r="H397">
            <v>3.4059757608607695E-2</v>
          </cell>
          <cell r="I397">
            <v>3.4168011529886091E-2</v>
          </cell>
          <cell r="J397"/>
        </row>
        <row r="398">
          <cell r="A398" t="str">
            <v>RHNS-SHCONBR5</v>
          </cell>
          <cell r="B398" t="str">
            <v>VAR_ncap</v>
          </cell>
          <cell r="C398" t="str">
            <v>-</v>
          </cell>
          <cell r="F398">
            <v>375</v>
          </cell>
          <cell r="G398">
            <v>7.50195762065339</v>
          </cell>
          <cell r="H398"/>
          <cell r="I398"/>
        </row>
        <row r="399">
          <cell r="A399" t="str">
            <v>RHNS-SHCONBR5</v>
          </cell>
          <cell r="B399" t="str">
            <v>VAR_cap</v>
          </cell>
          <cell r="C399" t="str">
            <v>-</v>
          </cell>
          <cell r="D399"/>
          <cell r="F399">
            <v>375</v>
          </cell>
          <cell r="G399">
            <v>18.511940608722</v>
          </cell>
          <cell r="H399">
            <v>10.008077518281027</v>
          </cell>
          <cell r="I399">
            <v>4.499068934587001</v>
          </cell>
          <cell r="J399"/>
        </row>
        <row r="400">
          <cell r="A400" t="str">
            <v>SCOM-SHCONBR9</v>
          </cell>
          <cell r="B400" t="str">
            <v>VAR_fout</v>
          </cell>
          <cell r="C400" t="str">
            <v>SCOM-SHCON</v>
          </cell>
          <cell r="E400">
            <v>7.0144961361426811E-5</v>
          </cell>
          <cell r="F400">
            <v>4.9126958007942666E-5</v>
          </cell>
          <cell r="G400">
            <v>4.7635084668751625E-5</v>
          </cell>
          <cell r="H400">
            <v>5.6964226769497568E-5</v>
          </cell>
          <cell r="I400">
            <v>3.9389077038701561E-5</v>
          </cell>
          <cell r="J400"/>
        </row>
        <row r="401">
          <cell r="A401" t="str">
            <v>SCOM-SHCONBR9</v>
          </cell>
          <cell r="B401" t="str">
            <v>VAR_fin</v>
          </cell>
          <cell r="C401" t="str">
            <v>CON</v>
          </cell>
          <cell r="E401">
            <v>7.0144961361426811E-5</v>
          </cell>
          <cell r="F401">
            <v>4.9126958007942666E-5</v>
          </cell>
          <cell r="G401">
            <v>4.7635084668751625E-5</v>
          </cell>
          <cell r="H401">
            <v>5.6964226769497568E-5</v>
          </cell>
          <cell r="I401">
            <v>3.9389077038701561E-5</v>
          </cell>
          <cell r="J401"/>
          <cell r="K401"/>
        </row>
        <row r="402">
          <cell r="A402" t="str">
            <v>SCOM-SHCONBR9</v>
          </cell>
          <cell r="B402" t="str">
            <v>VAR_ncap</v>
          </cell>
          <cell r="C402" t="str">
            <v>-</v>
          </cell>
          <cell r="E402">
            <v>6.9905196602531104E-6</v>
          </cell>
          <cell r="F402">
            <v>4.2870456211580101E-8</v>
          </cell>
          <cell r="G402">
            <v>2.80750722429664E-8</v>
          </cell>
          <cell r="H402"/>
          <cell r="I402">
            <v>8.5354260662819297E-8</v>
          </cell>
          <cell r="J402"/>
          <cell r="K402"/>
        </row>
        <row r="403">
          <cell r="A403" t="str">
            <v>SCOM-SHCONBR9</v>
          </cell>
          <cell r="B403" t="str">
            <v>VAR_cap</v>
          </cell>
          <cell r="C403" t="str">
            <v>-</v>
          </cell>
          <cell r="E403">
            <v>6.9905196602531104E-6</v>
          </cell>
          <cell r="F403">
            <v>7.0189167848422952E-6</v>
          </cell>
          <cell r="G403">
            <v>7.0302369312331131E-6</v>
          </cell>
          <cell r="H403">
            <v>7.586968653225891E-6</v>
          </cell>
          <cell r="I403">
            <v>4.7464749957388705E-6</v>
          </cell>
          <cell r="J403"/>
          <cell r="K403"/>
        </row>
        <row r="404">
          <cell r="A404" t="str">
            <v>ITOT-SWHCOABR</v>
          </cell>
          <cell r="B404" t="str">
            <v>VAR_fout</v>
          </cell>
          <cell r="C404" t="str">
            <v>ITOT-SWH</v>
          </cell>
          <cell r="D404">
            <v>2.3674020738915598</v>
          </cell>
          <cell r="E404">
            <v>2.3075016314604677</v>
          </cell>
          <cell r="F404">
            <v>1.6877406479919573E-3</v>
          </cell>
          <cell r="G404">
            <v>2.0246968486881847</v>
          </cell>
          <cell r="H404">
            <v>9.018125251305019E-4</v>
          </cell>
          <cell r="I404"/>
          <cell r="J404"/>
          <cell r="K404"/>
        </row>
        <row r="405">
          <cell r="A405" t="str">
            <v>ITOT-SWHCOABR</v>
          </cell>
          <cell r="B405" t="str">
            <v>VAR_fout</v>
          </cell>
          <cell r="C405" t="str">
            <v>CO2_I</v>
          </cell>
          <cell r="D405">
            <v>330.012289097365</v>
          </cell>
          <cell r="E405">
            <v>321.17928113571401</v>
          </cell>
          <cell r="F405">
            <v>0.23438735291214099</v>
          </cell>
          <cell r="G405">
            <v>280.133429661783</v>
          </cell>
          <cell r="H405">
            <v>0.12384892011792201</v>
          </cell>
          <cell r="I405"/>
          <cell r="J405"/>
          <cell r="K405"/>
        </row>
        <row r="406">
          <cell r="A406" t="str">
            <v>ITOT-SWHCOABR</v>
          </cell>
          <cell r="B406" t="str">
            <v>VAR_fin</v>
          </cell>
          <cell r="C406" t="str">
            <v>ICOA</v>
          </cell>
          <cell r="D406">
            <v>3.5600031186339249</v>
          </cell>
          <cell r="E406">
            <v>3.4647171643550578</v>
          </cell>
          <cell r="F406">
            <v>2.5284504089767169E-3</v>
          </cell>
          <cell r="G406">
            <v>3.0219355950569904</v>
          </cell>
          <cell r="H406">
            <v>1.3360185557488916E-3</v>
          </cell>
          <cell r="I406"/>
          <cell r="J406"/>
          <cell r="K406"/>
        </row>
        <row r="407">
          <cell r="A407" t="str">
            <v>ITOT-SWHCOABR</v>
          </cell>
          <cell r="B407" t="str">
            <v>VAR_ncap</v>
          </cell>
          <cell r="C407" t="str">
            <v>-</v>
          </cell>
          <cell r="E407">
            <v>8.63704806364137E-6</v>
          </cell>
          <cell r="F407">
            <v>7.4006362130940502E-6</v>
          </cell>
          <cell r="G407">
            <v>0.113024659347724</v>
          </cell>
          <cell r="H407">
            <v>8.0096517044189703E-5</v>
          </cell>
          <cell r="I407">
            <v>1.4392461935905799E-7</v>
          </cell>
          <cell r="K407"/>
        </row>
        <row r="408">
          <cell r="A408" t="str">
            <v>ITOT-SWHCOABR</v>
          </cell>
          <cell r="B408" t="str">
            <v>VAR_cap</v>
          </cell>
          <cell r="C408" t="str">
            <v>-</v>
          </cell>
          <cell r="D408">
            <v>0.26172155007150499</v>
          </cell>
          <cell r="E408">
            <v>0.18675690567270004</v>
          </cell>
          <cell r="F408">
            <v>1.6236828478471965E-4</v>
          </cell>
          <cell r="G408">
            <v>0.11317826629102695</v>
          </cell>
          <cell r="H408">
            <v>8.4676348999404571E-5</v>
          </cell>
          <cell r="I408">
            <v>5.1973788983500845E-8</v>
          </cell>
          <cell r="J408"/>
          <cell r="K408"/>
        </row>
        <row r="409">
          <cell r="A409" t="str">
            <v>RHSA-WHDEM</v>
          </cell>
          <cell r="B409" t="str">
            <v>VAR_fout</v>
          </cell>
          <cell r="C409" t="str">
            <v>WWTPC</v>
          </cell>
          <cell r="D409">
            <v>2.4565407686819505E-2</v>
          </cell>
          <cell r="E409">
            <v>8.6218506321844579E-5</v>
          </cell>
          <cell r="F409">
            <v>6.9587044586212621E-5</v>
          </cell>
          <cell r="G409">
            <v>6.9281083646186362E-5</v>
          </cell>
          <cell r="H409">
            <v>6.5696925208899581E-5</v>
          </cell>
          <cell r="I409">
            <v>6.2686959288894145E-5</v>
          </cell>
          <cell r="J409"/>
          <cell r="K409"/>
        </row>
        <row r="410">
          <cell r="A410" t="str">
            <v>RHSA-WHDEM</v>
          </cell>
          <cell r="B410" t="str">
            <v>VAR_fout</v>
          </cell>
          <cell r="C410" t="str">
            <v>RHSA-WHD</v>
          </cell>
          <cell r="D410">
            <v>26.438654975424289</v>
          </cell>
          <cell r="E410">
            <v>25.92879146371218</v>
          </cell>
          <cell r="F410">
            <v>21.225865381742697</v>
          </cell>
          <cell r="G410">
            <v>22.083263299456672</v>
          </cell>
          <cell r="H410">
            <v>26.6688515977342</v>
          </cell>
          <cell r="I410">
            <v>28.401749492517801</v>
          </cell>
          <cell r="J410"/>
        </row>
        <row r="411">
          <cell r="A411" t="str">
            <v>RHSA-WHDEM</v>
          </cell>
          <cell r="B411" t="str">
            <v>VAR_fin</v>
          </cell>
          <cell r="C411" t="str">
            <v>RHSA-WHNGA</v>
          </cell>
          <cell r="D411">
            <v>6.2063265659545719</v>
          </cell>
          <cell r="E411">
            <v>5.5409107454174942</v>
          </cell>
          <cell r="F411">
            <v>5.173989965332324</v>
          </cell>
          <cell r="G411">
            <v>3.5062268465187221</v>
          </cell>
          <cell r="H411">
            <v>1.4968199247570488</v>
          </cell>
          <cell r="I411">
            <v>0.65178543798598432</v>
          </cell>
          <cell r="J411"/>
          <cell r="K411"/>
        </row>
        <row r="412">
          <cell r="A412" t="str">
            <v>RHSA-WHDEM</v>
          </cell>
          <cell r="B412" t="str">
            <v>VAR_fin</v>
          </cell>
          <cell r="C412" t="str">
            <v>RHSA-WHLFO</v>
          </cell>
          <cell r="D412">
            <v>6.8185508241181179</v>
          </cell>
          <cell r="E412">
            <v>5.5425395191799778</v>
          </cell>
          <cell r="F412">
            <v>4.3352820401582113</v>
          </cell>
          <cell r="G412">
            <v>2.1003586373309902</v>
          </cell>
          <cell r="H412">
            <v>0.7328389291639974</v>
          </cell>
          <cell r="I412">
            <v>5.2133470652079482E-2</v>
          </cell>
          <cell r="J412"/>
          <cell r="K412"/>
        </row>
        <row r="413">
          <cell r="A413" t="str">
            <v>RHSA-WHDEM</v>
          </cell>
          <cell r="B413" t="str">
            <v>VAR_fin</v>
          </cell>
          <cell r="C413" t="str">
            <v>RHSA-WHWOD</v>
          </cell>
          <cell r="D413">
            <v>0.55660063530469717</v>
          </cell>
          <cell r="E413">
            <v>0.59695373773440319</v>
          </cell>
          <cell r="F413">
            <v>1.2228428872878461</v>
          </cell>
          <cell r="G413">
            <v>1.3158164440168971</v>
          </cell>
          <cell r="H413">
            <v>1.2664087157719757</v>
          </cell>
          <cell r="I413">
            <v>1.081281067705306</v>
          </cell>
          <cell r="J413"/>
          <cell r="K413"/>
        </row>
        <row r="414">
          <cell r="A414" t="str">
            <v>RHSA-WHDEM</v>
          </cell>
          <cell r="B414" t="str">
            <v>VAR_fin</v>
          </cell>
          <cell r="C414" t="str">
            <v>RHSA-WHNGAH</v>
          </cell>
          <cell r="D414">
            <v>5.552983086444023E-2</v>
          </cell>
          <cell r="E414">
            <v>2.1429416915533882E-4</v>
          </cell>
          <cell r="F414">
            <v>1.0113104043258883</v>
          </cell>
          <cell r="G414">
            <v>3.2686547933633738</v>
          </cell>
          <cell r="H414">
            <v>5.87033435555088</v>
          </cell>
          <cell r="I414">
            <v>6.5253300573031465</v>
          </cell>
        </row>
        <row r="415">
          <cell r="A415" t="str">
            <v>RHSA-WHDEM</v>
          </cell>
          <cell r="B415" t="str">
            <v>VAR_fin</v>
          </cell>
          <cell r="C415" t="str">
            <v>RHSA-WHNST</v>
          </cell>
          <cell r="D415">
            <v>3.6534192512057924E-2</v>
          </cell>
          <cell r="E415">
            <v>1.5158806017455604E-4</v>
          </cell>
          <cell r="F415">
            <v>2.0054483599261637E-7</v>
          </cell>
        </row>
        <row r="416">
          <cell r="A416" t="str">
            <v>RHSA-WHDEM</v>
          </cell>
          <cell r="B416" t="str">
            <v>VAR_fin</v>
          </cell>
          <cell r="C416" t="str">
            <v>RHSA-WHPLT</v>
          </cell>
          <cell r="D416">
            <v>0.27011672363399475</v>
          </cell>
          <cell r="E416">
            <v>0.19457098618980079</v>
          </cell>
          <cell r="F416">
            <v>7.7941389584644388E-2</v>
          </cell>
          <cell r="G416">
            <v>0.13053574346680993</v>
          </cell>
          <cell r="H416">
            <v>0.18339593576350763</v>
          </cell>
          <cell r="I416">
            <v>0.18809220694235124</v>
          </cell>
          <cell r="J416"/>
          <cell r="K416"/>
        </row>
        <row r="417">
          <cell r="A417" t="str">
            <v>RHSA-WHDEM</v>
          </cell>
          <cell r="B417" t="str">
            <v>VAR_fin</v>
          </cell>
          <cell r="C417" t="str">
            <v>RHSA-WHLTHRD</v>
          </cell>
          <cell r="D417">
            <v>1.2781858735582692</v>
          </cell>
          <cell r="E417">
            <v>1.463082043247989</v>
          </cell>
          <cell r="F417">
            <v>1.0130490561761365</v>
          </cell>
          <cell r="G417">
            <v>1.5292848855473784</v>
          </cell>
          <cell r="H417">
            <v>1.9512930189875151</v>
          </cell>
          <cell r="I417">
            <v>2.1166504363994672</v>
          </cell>
          <cell r="J417"/>
          <cell r="K417"/>
        </row>
        <row r="418">
          <cell r="A418" t="str">
            <v>RHSA-WHDEM</v>
          </cell>
          <cell r="B418" t="str">
            <v>VAR_fin</v>
          </cell>
          <cell r="C418" t="str">
            <v>RHSA-WHELCB</v>
          </cell>
          <cell r="D418">
            <v>6.4619027548464549</v>
          </cell>
          <cell r="E418">
            <v>6.9684113584362724</v>
          </cell>
          <cell r="F418">
            <v>2.7653848827579424</v>
          </cell>
          <cell r="G418">
            <v>2.0125002112766484</v>
          </cell>
          <cell r="H418">
            <v>1.7261527010263087</v>
          </cell>
          <cell r="I418">
            <v>1.5570043149145523</v>
          </cell>
        </row>
        <row r="419">
          <cell r="A419" t="str">
            <v>RHSA-WHDEM</v>
          </cell>
          <cell r="B419" t="str">
            <v>VAR_fin</v>
          </cell>
          <cell r="C419" t="str">
            <v>RHSA-WHSOL</v>
          </cell>
          <cell r="D419">
            <v>1.6632040343191123</v>
          </cell>
          <cell r="E419">
            <v>1.9868834267333857</v>
          </cell>
          <cell r="F419">
            <v>0.89965103978245953</v>
          </cell>
          <cell r="G419">
            <v>1.0468281397105503</v>
          </cell>
          <cell r="H419">
            <v>1.1918032570314627</v>
          </cell>
          <cell r="I419">
            <v>1.1959233762019479</v>
          </cell>
        </row>
        <row r="420">
          <cell r="A420" t="str">
            <v>RHSA-WHDEM</v>
          </cell>
          <cell r="B420" t="str">
            <v>VAR_fin</v>
          </cell>
          <cell r="C420" t="str">
            <v>RHSA-WHELCH</v>
          </cell>
          <cell r="D420">
            <v>3.116268947999385</v>
          </cell>
          <cell r="E420">
            <v>3.6351599830498662</v>
          </cell>
          <cell r="F420">
            <v>4.7264804807743719</v>
          </cell>
          <cell r="G420">
            <v>7.1731245030923168</v>
          </cell>
          <cell r="H420">
            <v>12.249867633962904</v>
          </cell>
          <cell r="I420">
            <v>15.033610244050969</v>
          </cell>
          <cell r="J420"/>
          <cell r="K420"/>
        </row>
        <row r="421">
          <cell r="A421" t="str">
            <v>RHSA-WHNGAHP</v>
          </cell>
          <cell r="B421" t="str">
            <v>VAR_fout</v>
          </cell>
          <cell r="C421" t="str">
            <v>RHSA-WHANGAH</v>
          </cell>
          <cell r="F421">
            <v>1.0113055149029961</v>
          </cell>
          <cell r="G421">
            <v>3.2686497668842409</v>
          </cell>
          <cell r="H421">
            <v>5.8703272355687925</v>
          </cell>
          <cell r="I421">
            <v>6.5253217791412164</v>
          </cell>
          <cell r="J421"/>
          <cell r="K421"/>
        </row>
        <row r="422">
          <cell r="A422" t="str">
            <v>RHSA-WHNGAHP</v>
          </cell>
          <cell r="B422" t="str">
            <v>VAR_fout</v>
          </cell>
          <cell r="C422" t="str">
            <v>CO2_R</v>
          </cell>
          <cell r="F422">
            <v>27.6128540286179</v>
          </cell>
          <cell r="G422">
            <v>79.167737097320497</v>
          </cell>
          <cell r="H422">
            <v>128.152164572788</v>
          </cell>
          <cell r="I422">
            <v>118.61774173227499</v>
          </cell>
        </row>
        <row r="423">
          <cell r="A423" t="str">
            <v>RHSA-WHNGAHP</v>
          </cell>
          <cell r="B423" t="str">
            <v>VAR_fin</v>
          </cell>
          <cell r="C423" t="str">
            <v>RNGA</v>
          </cell>
          <cell r="F423">
            <v>0.48958961043648758</v>
          </cell>
          <cell r="G423">
            <v>1.4036832818673846</v>
          </cell>
          <cell r="H423">
            <v>2.2722014995175241</v>
          </cell>
          <cell r="I423">
            <v>2.1031514491538204</v>
          </cell>
        </row>
        <row r="424">
          <cell r="A424" t="str">
            <v>RHSA-WHNGAHP</v>
          </cell>
          <cell r="B424" t="str">
            <v>VAR_ncap</v>
          </cell>
          <cell r="C424" t="str">
            <v>-</v>
          </cell>
          <cell r="E424">
            <v>1.0931645850669501E-6</v>
          </cell>
          <cell r="F424">
            <v>6.69876572136167E-2</v>
          </cell>
          <cell r="G424">
            <v>0.14944761977399901</v>
          </cell>
          <cell r="H424">
            <v>0.192709992396918</v>
          </cell>
          <cell r="I424">
            <v>0.27466078818324102</v>
          </cell>
          <cell r="J424"/>
          <cell r="K424"/>
        </row>
        <row r="425">
          <cell r="A425" t="str">
            <v>RHSA-WHNGAHP</v>
          </cell>
          <cell r="B425" t="str">
            <v>VAR_cap</v>
          </cell>
          <cell r="C425" t="str">
            <v>-</v>
          </cell>
          <cell r="D425">
            <v>4.7729432218241499E-11</v>
          </cell>
          <cell r="E425">
            <v>9.2270170636015737E-7</v>
          </cell>
          <cell r="F425">
            <v>6.6988536128981646E-2</v>
          </cell>
          <cell r="G425">
            <v>0.21643610595772378</v>
          </cell>
          <cell r="H425">
            <v>0.40125279951982024</v>
          </cell>
          <cell r="I425">
            <v>0.45453522574268634</v>
          </cell>
          <cell r="J425"/>
          <cell r="K425"/>
        </row>
        <row r="426">
          <cell r="A426" t="str">
            <v>SCOM-SHSTG-ELCHP</v>
          </cell>
          <cell r="B426" t="str">
            <v>VAR_fout</v>
          </cell>
          <cell r="C426" t="str">
            <v>SCOM-SHAELCH</v>
          </cell>
          <cell r="D426">
            <v>5.9808765207498234E-6</v>
          </cell>
          <cell r="E426">
            <v>1.1963814214426408E-5</v>
          </cell>
          <cell r="F426">
            <v>1.1760023226627965E-5</v>
          </cell>
          <cell r="G426">
            <v>1.1037330033747509E-5</v>
          </cell>
          <cell r="H426">
            <v>2.2252082591808592E-5</v>
          </cell>
          <cell r="I426">
            <v>8.1905299489141734E-6</v>
          </cell>
        </row>
        <row r="427">
          <cell r="A427" t="str">
            <v>SCOM-SHSTG-ELCHP</v>
          </cell>
          <cell r="B427" t="str">
            <v>VAR_fin</v>
          </cell>
          <cell r="C427" t="str">
            <v>SCOM-SHAELCH</v>
          </cell>
          <cell r="D427">
            <v>8.74855638329996E-6</v>
          </cell>
          <cell r="E427">
            <v>1.2222113871210723E-5</v>
          </cell>
          <cell r="F427">
            <v>1.3225913172342093E-5</v>
          </cell>
          <cell r="G427">
            <v>1.1728596923190471E-5</v>
          </cell>
          <cell r="H427">
            <v>2.745172576546455E-5</v>
          </cell>
          <cell r="I427">
            <v>8.301006785026099E-6</v>
          </cell>
        </row>
        <row r="428">
          <cell r="A428" t="str">
            <v>SCOM-SHSTG-ELCHP</v>
          </cell>
          <cell r="B428" t="str">
            <v>VAR_ncap</v>
          </cell>
          <cell r="C428" t="str">
            <v>-</v>
          </cell>
          <cell r="D428">
            <v>9.1122362213558496E-3</v>
          </cell>
          <cell r="E428">
            <v>9.2255233311951304E-2</v>
          </cell>
          <cell r="F428">
            <v>6.6384018678162105E-5</v>
          </cell>
          <cell r="G428">
            <v>3.2442315483841702E-2</v>
          </cell>
          <cell r="H428">
            <v>0.138886448934089</v>
          </cell>
          <cell r="I428">
            <v>0.17618926003680699</v>
          </cell>
          <cell r="J428"/>
          <cell r="K428"/>
        </row>
        <row r="429">
          <cell r="A429" t="str">
            <v>SCOM-SHSTG-ELCHP</v>
          </cell>
          <cell r="B429" t="str">
            <v>VAR_cap</v>
          </cell>
          <cell r="C429" t="str">
            <v>-</v>
          </cell>
          <cell r="D429">
            <v>9.1122362213558496E-3</v>
          </cell>
          <cell r="E429">
            <v>0.10132213415367115</v>
          </cell>
          <cell r="F429">
            <v>0.10132245339769377</v>
          </cell>
          <cell r="G429">
            <v>0.13373347300882901</v>
          </cell>
          <cell r="H429">
            <v>0.27225810875482404</v>
          </cell>
          <cell r="I429">
            <v>0.32398767725221506</v>
          </cell>
          <cell r="K429"/>
        </row>
        <row r="430">
          <cell r="A430" t="str">
            <v>RHEM-SHLFOBR</v>
          </cell>
          <cell r="B430" t="str">
            <v>VAR_fout</v>
          </cell>
          <cell r="C430" t="str">
            <v>CO2_R</v>
          </cell>
          <cell r="D430">
            <v>1928.71061337895</v>
          </cell>
          <cell r="E430">
            <v>1569.63604084087</v>
          </cell>
          <cell r="F430">
            <v>1668.9213106078601</v>
          </cell>
          <cell r="G430">
            <v>864.38773889213905</v>
          </cell>
          <cell r="H430">
            <v>204.80305536604899</v>
          </cell>
          <cell r="I430">
            <v>14.528340223287699</v>
          </cell>
          <cell r="K430"/>
        </row>
        <row r="431">
          <cell r="A431" t="str">
            <v>RHEM-SHLFOBR</v>
          </cell>
          <cell r="B431" t="str">
            <v>VAR_fout</v>
          </cell>
          <cell r="C431" t="str">
            <v>RHEM-SHLFO</v>
          </cell>
          <cell r="D431">
            <v>23.443734841501275</v>
          </cell>
          <cell r="E431">
            <v>19.079135503210484</v>
          </cell>
          <cell r="F431">
            <v>19.255552958742641</v>
          </cell>
          <cell r="G431">
            <v>10.180134498622156</v>
          </cell>
          <cell r="H431">
            <v>2.4120224704104674</v>
          </cell>
          <cell r="I431">
            <v>0.1721261553161807</v>
          </cell>
          <cell r="K431"/>
        </row>
        <row r="432">
          <cell r="A432" t="str">
            <v>RHEM-SHLFOBR</v>
          </cell>
          <cell r="B432" t="str">
            <v>VAR_fin</v>
          </cell>
          <cell r="C432" t="str">
            <v>RLFO</v>
          </cell>
          <cell r="D432">
            <v>26.169750520745581</v>
          </cell>
          <cell r="E432">
            <v>21.297639631490728</v>
          </cell>
          <cell r="F432">
            <v>22.644793902413326</v>
          </cell>
          <cell r="G432">
            <v>11.728463214275965</v>
          </cell>
          <cell r="H432">
            <v>2.7788745639898047</v>
          </cell>
          <cell r="I432">
            <v>0.19712808986821909</v>
          </cell>
          <cell r="K432"/>
        </row>
        <row r="433">
          <cell r="A433" t="str">
            <v>RHEM-SHLFOBR</v>
          </cell>
          <cell r="B433" t="str">
            <v>VAR_ncap</v>
          </cell>
          <cell r="C433" t="str">
            <v>-</v>
          </cell>
          <cell r="E433">
            <v>3.20118497018504E-7</v>
          </cell>
          <cell r="F433">
            <v>3.2201383785441998E-7</v>
          </cell>
          <cell r="G433">
            <v>4.3496483269599202E-7</v>
          </cell>
          <cell r="H433">
            <v>8.5870313678628393E-2</v>
          </cell>
          <cell r="I433">
            <v>1.39259415060359E-7</v>
          </cell>
          <cell r="K433"/>
        </row>
        <row r="434">
          <cell r="A434" t="str">
            <v>RHEM-SHLFOBR</v>
          </cell>
          <cell r="B434" t="str">
            <v>VAR_cap</v>
          </cell>
          <cell r="C434" t="str">
            <v>-</v>
          </cell>
          <cell r="D434">
            <v>1.65587464377338</v>
          </cell>
          <cell r="E434">
            <v>1.505900753850016</v>
          </cell>
          <cell r="F434">
            <v>1.5056626948106029</v>
          </cell>
          <cell r="G434">
            <v>1.5055380702933707</v>
          </cell>
          <cell r="H434">
            <v>0.17039693721560267</v>
          </cell>
          <cell r="I434">
            <v>1.7423620733302697E-2</v>
          </cell>
          <cell r="K434"/>
        </row>
        <row r="435">
          <cell r="A435" t="str">
            <v>RHES-SHNGAHP</v>
          </cell>
          <cell r="B435" t="str">
            <v>VAR_fout</v>
          </cell>
          <cell r="C435" t="str">
            <v>RHES-SHANGAH</v>
          </cell>
          <cell r="F435">
            <v>2.1747985541480377</v>
          </cell>
          <cell r="G435">
            <v>5.6116377744318182</v>
          </cell>
          <cell r="H435">
            <v>7.6069546529289092</v>
          </cell>
          <cell r="I435">
            <v>6.9878876204652114</v>
          </cell>
          <cell r="J435"/>
          <cell r="K435"/>
        </row>
        <row r="436">
          <cell r="A436" t="str">
            <v>RHES-SHNGAHP</v>
          </cell>
          <cell r="B436" t="str">
            <v>VAR_fout</v>
          </cell>
          <cell r="C436" t="str">
            <v>CO2_R</v>
          </cell>
          <cell r="F436">
            <v>67.321106905031101</v>
          </cell>
          <cell r="G436">
            <v>166.30243740061101</v>
          </cell>
          <cell r="H436">
            <v>217.98986546967799</v>
          </cell>
          <cell r="I436">
            <v>188.212653299658</v>
          </cell>
          <cell r="J436"/>
          <cell r="K436"/>
        </row>
        <row r="437">
          <cell r="A437" t="str">
            <v>RHES-SHNGAHP</v>
          </cell>
          <cell r="B437" t="str">
            <v>VAR_fin</v>
          </cell>
          <cell r="C437" t="str">
            <v>RHESELCHPC</v>
          </cell>
          <cell r="F437">
            <v>2.1747985541480377</v>
          </cell>
          <cell r="G437">
            <v>5.6116377744318182</v>
          </cell>
          <cell r="H437">
            <v>7.6069546529289092</v>
          </cell>
          <cell r="I437">
            <v>6.9878876204652114</v>
          </cell>
          <cell r="J437"/>
          <cell r="K437"/>
        </row>
        <row r="438">
          <cell r="A438" t="str">
            <v>RHES-SHNGAHP</v>
          </cell>
          <cell r="B438" t="str">
            <v>VAR_fin</v>
          </cell>
          <cell r="C438" t="str">
            <v>RNGA</v>
          </cell>
          <cell r="F438">
            <v>1.1936366472523237</v>
          </cell>
          <cell r="G438">
            <v>2.9486247766065716</v>
          </cell>
          <cell r="H438">
            <v>3.8650685366964166</v>
          </cell>
          <cell r="I438">
            <v>3.3371037819088394</v>
          </cell>
          <cell r="J438"/>
          <cell r="K438"/>
        </row>
        <row r="439">
          <cell r="A439" t="str">
            <v>RHES-SHNGAHP</v>
          </cell>
          <cell r="B439" t="str">
            <v>VAR_ncap</v>
          </cell>
          <cell r="C439" t="str">
            <v>-</v>
          </cell>
          <cell r="E439">
            <v>4.9241217569231598E-7</v>
          </cell>
          <cell r="F439">
            <v>0.17571895652814201</v>
          </cell>
          <cell r="G439">
            <v>0.27763832106115199</v>
          </cell>
          <cell r="H439">
            <v>0.30971186305868798</v>
          </cell>
          <cell r="I439">
            <v>0.30445020637591702</v>
          </cell>
          <cell r="K439"/>
        </row>
        <row r="440">
          <cell r="A440" t="str">
            <v>RHES-SHNGAHP</v>
          </cell>
          <cell r="B440" t="str">
            <v>VAR_cap</v>
          </cell>
          <cell r="C440" t="str">
            <v>-</v>
          </cell>
          <cell r="E440">
            <v>4.9241217569231598E-7</v>
          </cell>
          <cell r="F440">
            <v>0.17571937478887442</v>
          </cell>
          <cell r="G440">
            <v>0.45335766020616325</v>
          </cell>
          <cell r="H440">
            <v>0.61456535053256367</v>
          </cell>
          <cell r="I440">
            <v>0.56479516320114387</v>
          </cell>
        </row>
        <row r="441">
          <cell r="A441" t="str">
            <v>D-RHES_LTH_CHPWOD</v>
          </cell>
          <cell r="B441" t="str">
            <v>VAR_fout</v>
          </cell>
          <cell r="C441" t="str">
            <v>RHES_LTH_CHPWOD_ON</v>
          </cell>
          <cell r="D441">
            <v>6.2263068782968408E-6</v>
          </cell>
          <cell r="E441">
            <v>7.609334476464287E-6</v>
          </cell>
          <cell r="F441">
            <v>2.2660913489632354E-6</v>
          </cell>
          <cell r="G441">
            <v>1.1076738230940191E-5</v>
          </cell>
          <cell r="I441">
            <v>1.8627174147395342E-4</v>
          </cell>
        </row>
        <row r="442">
          <cell r="A442" t="str">
            <v>D-RHES_LTH_CHPWOD</v>
          </cell>
          <cell r="B442" t="str">
            <v>VAR_fout</v>
          </cell>
          <cell r="C442" t="str">
            <v>RHSA_LTH</v>
          </cell>
          <cell r="D442">
            <v>7.1592739545810997E-6</v>
          </cell>
          <cell r="E442">
            <v>8.9916563028460647E-6</v>
          </cell>
          <cell r="F442">
            <v>3.778330377293595E-6</v>
          </cell>
          <cell r="G442">
            <v>8.9529831314803972E-4</v>
          </cell>
          <cell r="H442">
            <v>1.7265818182737645E-3</v>
          </cell>
          <cell r="I442">
            <v>4.3735777302737289E-4</v>
          </cell>
          <cell r="K442"/>
        </row>
        <row r="443">
          <cell r="A443" t="str">
            <v>D-RHES_LTH_CHPWOD</v>
          </cell>
          <cell r="B443" t="str">
            <v>VAR_fout</v>
          </cell>
          <cell r="C443" t="str">
            <v>LTH</v>
          </cell>
          <cell r="H443">
            <v>9.6363321542792578E-7</v>
          </cell>
          <cell r="I443">
            <v>3.1593884551884172E-7</v>
          </cell>
          <cell r="J443"/>
          <cell r="K443"/>
        </row>
        <row r="444">
          <cell r="A444" t="str">
            <v>D-RHES_LTH_CHPWOD</v>
          </cell>
          <cell r="B444" t="str">
            <v>VAR_fin</v>
          </cell>
          <cell r="C444" t="str">
            <v>RHES_LTH_CHPWOD</v>
          </cell>
          <cell r="D444">
            <v>1.3385580832877949E-5</v>
          </cell>
          <cell r="E444">
            <v>1.6890088432808957E-5</v>
          </cell>
          <cell r="F444">
            <v>6.428450933255727E-6</v>
          </cell>
          <cell r="G444">
            <v>9.069750547974092E-4</v>
          </cell>
          <cell r="H444">
            <v>1.7288370979361282E-3</v>
          </cell>
          <cell r="I444">
            <v>6.2486773620497749E-4</v>
          </cell>
        </row>
        <row r="445">
          <cell r="A445" t="str">
            <v>ITOT-SWHCONBR</v>
          </cell>
          <cell r="B445" t="str">
            <v>VAR_fout</v>
          </cell>
          <cell r="C445" t="str">
            <v>ITOT-SWHC</v>
          </cell>
          <cell r="F445">
            <v>2.3193667556187194E-5</v>
          </cell>
          <cell r="G445">
            <v>2.4160662426091813E-5</v>
          </cell>
          <cell r="H445">
            <v>3.4026696000046376E-5</v>
          </cell>
          <cell r="I445">
            <v>2.422784197557033E-5</v>
          </cell>
        </row>
        <row r="446">
          <cell r="A446" t="str">
            <v>ITOT-SWHCONBR</v>
          </cell>
          <cell r="B446" t="str">
            <v>VAR_fin</v>
          </cell>
          <cell r="C446" t="str">
            <v>CON</v>
          </cell>
          <cell r="F446">
            <v>2.3193667556187194E-5</v>
          </cell>
          <cell r="G446">
            <v>2.4160662426091813E-5</v>
          </cell>
          <cell r="H446">
            <v>3.4026696000046376E-5</v>
          </cell>
          <cell r="I446">
            <v>2.422784197557033E-5</v>
          </cell>
          <cell r="J446"/>
          <cell r="K446"/>
        </row>
        <row r="447">
          <cell r="A447" t="str">
            <v>ITOT-SWHCONBR</v>
          </cell>
          <cell r="B447" t="str">
            <v>VAR_ncap</v>
          </cell>
          <cell r="C447" t="str">
            <v>-</v>
          </cell>
          <cell r="F447">
            <v>9.8526875538560197E-7</v>
          </cell>
          <cell r="G447">
            <v>4.2013773298943403E-8</v>
          </cell>
          <cell r="H447">
            <v>1.6377926647398199E-8</v>
          </cell>
          <cell r="I447">
            <v>2.20498580641573E-8</v>
          </cell>
        </row>
        <row r="448">
          <cell r="A448" t="str">
            <v>ITOT-SWHCONBR</v>
          </cell>
          <cell r="B448" t="str">
            <v>VAR_cap</v>
          </cell>
          <cell r="C448" t="str">
            <v>-</v>
          </cell>
          <cell r="F448">
            <v>9.8526875538560197E-7</v>
          </cell>
          <cell r="G448">
            <v>1.02728252868455E-6</v>
          </cell>
          <cell r="H448">
            <v>1.0795639444624231E-6</v>
          </cell>
          <cell r="I448">
            <v>1.1516071283266E-6</v>
          </cell>
        </row>
        <row r="449">
          <cell r="A449" t="str">
            <v>ITOT-SWHSOLBR</v>
          </cell>
          <cell r="B449" t="str">
            <v>VAR_fout</v>
          </cell>
          <cell r="C449" t="str">
            <v>ITOT-SWHASOL</v>
          </cell>
          <cell r="D449">
            <v>6.7637070992191017E-2</v>
          </cell>
          <cell r="E449">
            <v>8.5492605440850286E-2</v>
          </cell>
          <cell r="F449">
            <v>0.10033519147746132</v>
          </cell>
          <cell r="G449">
            <v>0.10588865801491035</v>
          </cell>
          <cell r="H449">
            <v>0.10047740525335749</v>
          </cell>
          <cell r="I449">
            <v>6.6193412664370954E-2</v>
          </cell>
        </row>
        <row r="450">
          <cell r="A450" t="str">
            <v>ITOT-SWHSOLBR</v>
          </cell>
          <cell r="B450" t="str">
            <v>VAR_fin</v>
          </cell>
          <cell r="C450" t="str">
            <v>SOL</v>
          </cell>
          <cell r="D450">
            <v>6.7637070992191017E-2</v>
          </cell>
          <cell r="E450">
            <v>8.5492605440850286E-2</v>
          </cell>
          <cell r="F450">
            <v>0.10033519147746132</v>
          </cell>
          <cell r="G450">
            <v>0.10588865801491035</v>
          </cell>
          <cell r="H450">
            <v>0.10047740525335749</v>
          </cell>
          <cell r="I450">
            <v>6.6193412664370954E-2</v>
          </cell>
        </row>
        <row r="451">
          <cell r="A451" t="str">
            <v>ITOT-SWHSOLBR</v>
          </cell>
          <cell r="B451" t="str">
            <v>VAR_ncap</v>
          </cell>
          <cell r="C451" t="str">
            <v>-</v>
          </cell>
          <cell r="E451">
            <v>5.59579986753339E-3</v>
          </cell>
          <cell r="F451">
            <v>4.2456177226015098E-8</v>
          </cell>
          <cell r="G451">
            <v>6.2788261979902201E-8</v>
          </cell>
          <cell r="H451">
            <v>5.4138950739627996E-3</v>
          </cell>
          <cell r="I451">
            <v>7.2559920929726497E-3</v>
          </cell>
        </row>
        <row r="452">
          <cell r="A452" t="str">
            <v>ITOT-SWHSOLBR</v>
          </cell>
          <cell r="B452" t="str">
            <v>VAR_cap</v>
          </cell>
          <cell r="C452" t="str">
            <v>-</v>
          </cell>
          <cell r="D452">
            <v>9.8214799778629808E-3</v>
          </cell>
          <cell r="E452">
            <v>1.541727984539637E-2</v>
          </cell>
          <cell r="F452">
            <v>1.54173223015736E-2</v>
          </cell>
          <cell r="G452">
            <v>1.541738508983558E-2</v>
          </cell>
          <cell r="H452">
            <v>1.54170509018745E-2</v>
          </cell>
          <cell r="I452">
            <v>1.5416297334267399E-2</v>
          </cell>
        </row>
        <row r="453">
          <cell r="A453" t="str">
            <v>SCOM-SHNGAHP</v>
          </cell>
          <cell r="B453" t="str">
            <v>VAR_fout</v>
          </cell>
          <cell r="C453" t="str">
            <v>SCOM-SHANGAH</v>
          </cell>
          <cell r="F453">
            <v>2.0826414667342705</v>
          </cell>
          <cell r="G453">
            <v>5.9606314339388238</v>
          </cell>
          <cell r="H453">
            <v>10.126130383678705</v>
          </cell>
          <cell r="I453">
            <v>10.459563341300694</v>
          </cell>
        </row>
        <row r="454">
          <cell r="A454" t="str">
            <v>SCOM-SHNGAHP</v>
          </cell>
          <cell r="B454" t="str">
            <v>VAR_fout</v>
          </cell>
          <cell r="C454" t="str">
            <v>CO2_S</v>
          </cell>
          <cell r="F454">
            <v>60.654586661092601</v>
          </cell>
          <cell r="G454">
            <v>166.53689168268099</v>
          </cell>
          <cell r="H454">
            <v>269.42813860889999</v>
          </cell>
          <cell r="I454">
            <v>256.28351839207699</v>
          </cell>
        </row>
        <row r="455">
          <cell r="A455" t="str">
            <v>SCOM-SHNGAHP</v>
          </cell>
          <cell r="B455" t="str">
            <v>VAR_fin</v>
          </cell>
          <cell r="C455" t="str">
            <v>SCOMELCHPC</v>
          </cell>
          <cell r="F455">
            <v>2.0826414667342705</v>
          </cell>
          <cell r="G455">
            <v>5.9606314339388238</v>
          </cell>
          <cell r="H455">
            <v>10.126130383678705</v>
          </cell>
          <cell r="I455">
            <v>10.459563341300694</v>
          </cell>
        </row>
        <row r="456">
          <cell r="A456" t="str">
            <v>SCOM-SHNGAHP</v>
          </cell>
          <cell r="B456" t="str">
            <v>VAR_fin</v>
          </cell>
          <cell r="C456" t="str">
            <v>SNGA</v>
          </cell>
          <cell r="F456">
            <v>1.0754359337073147</v>
          </cell>
          <cell r="G456">
            <v>2.9527817674234202</v>
          </cell>
          <cell r="H456">
            <v>4.7770946561861791</v>
          </cell>
          <cell r="I456">
            <v>4.5440340140439233</v>
          </cell>
        </row>
        <row r="457">
          <cell r="A457" t="str">
            <v>SCOM-SHNGAHP</v>
          </cell>
          <cell r="B457" t="str">
            <v>VAR_ncap</v>
          </cell>
          <cell r="C457" t="str">
            <v>-</v>
          </cell>
          <cell r="D457">
            <v>6.05079203876737E-7</v>
          </cell>
          <cell r="E457">
            <v>5.7475627958639001E-5</v>
          </cell>
          <cell r="F457">
            <v>0.16099507122206</v>
          </cell>
          <cell r="G457">
            <v>0.29993215983877097</v>
          </cell>
          <cell r="H457">
            <v>0.40679238823998798</v>
          </cell>
          <cell r="I457">
            <v>0.45522066679163398</v>
          </cell>
        </row>
        <row r="458">
          <cell r="A458" t="str">
            <v>SCOM-SHNGAHP</v>
          </cell>
          <cell r="B458" t="str">
            <v>VAR_cap</v>
          </cell>
          <cell r="C458" t="str">
            <v>-</v>
          </cell>
          <cell r="D458">
            <v>6.05079203876737E-7</v>
          </cell>
          <cell r="E458">
            <v>5.7905662932782605E-5</v>
          </cell>
          <cell r="F458">
            <v>0.16105284561232494</v>
          </cell>
          <cell r="G458">
            <v>0.46098492622662773</v>
          </cell>
          <cell r="H458">
            <v>0.7861507615633333</v>
          </cell>
          <cell r="I458">
            <v>0.81219782340532876</v>
          </cell>
        </row>
        <row r="459">
          <cell r="A459" t="str">
            <v>RHNS-SHNGABR</v>
          </cell>
          <cell r="B459" t="str">
            <v>VAR_fout</v>
          </cell>
          <cell r="C459" t="str">
            <v>CO2_R</v>
          </cell>
          <cell r="E459">
            <v>6.0645781572687696</v>
          </cell>
          <cell r="F459">
            <v>2.6069814831117499</v>
          </cell>
          <cell r="G459">
            <v>3.8037405897310701</v>
          </cell>
          <cell r="H459">
            <v>3.37239635789954</v>
          </cell>
          <cell r="I459">
            <v>1.1481708541608999</v>
          </cell>
        </row>
        <row r="460">
          <cell r="A460" t="str">
            <v>RHNS-SHNGABR</v>
          </cell>
          <cell r="B460" t="str">
            <v>VAR_fout</v>
          </cell>
          <cell r="C460" t="str">
            <v>RHNS-SHNGA</v>
          </cell>
          <cell r="E460">
            <v>0.10215158243626481</v>
          </cell>
          <cell r="F460">
            <v>4.4285914967529864E-2</v>
          </cell>
          <cell r="G460">
            <v>6.4615776294008678E-2</v>
          </cell>
          <cell r="H460">
            <v>5.7288346430631187E-2</v>
          </cell>
          <cell r="I460">
            <v>1.9504471798116717E-2</v>
          </cell>
        </row>
        <row r="461">
          <cell r="A461" t="str">
            <v>RHNS-SHNGABR</v>
          </cell>
          <cell r="B461" t="str">
            <v>VAR_fin</v>
          </cell>
          <cell r="C461" t="str">
            <v>RNGA</v>
          </cell>
          <cell r="E461">
            <v>0.10752798151185776</v>
          </cell>
          <cell r="F461">
            <v>4.6223075941697708E-2</v>
          </cell>
          <cell r="G461">
            <v>6.7442209037784931E-2</v>
          </cell>
          <cell r="H461">
            <v>5.9794261664885572E-2</v>
          </cell>
          <cell r="I461">
            <v>2.0357639258171963E-2</v>
          </cell>
        </row>
        <row r="462">
          <cell r="A462" t="str">
            <v>RHNS-SHNGABR</v>
          </cell>
          <cell r="B462" t="str">
            <v>VAR_ncap</v>
          </cell>
          <cell r="C462" t="str">
            <v>-</v>
          </cell>
          <cell r="E462">
            <v>7.4892953487042304E-3</v>
          </cell>
          <cell r="F462">
            <v>6.68144292554399E-7</v>
          </cell>
          <cell r="G462">
            <v>6.4218833120376202E-7</v>
          </cell>
          <cell r="H462">
            <v>3.1468601969009101E-3</v>
          </cell>
          <cell r="I462">
            <v>7.0259932247506005E-7</v>
          </cell>
        </row>
        <row r="463">
          <cell r="A463" t="str">
            <v>RHNS-SHNGABR</v>
          </cell>
          <cell r="B463" t="str">
            <v>VAR_cap</v>
          </cell>
          <cell r="C463" t="str">
            <v>-</v>
          </cell>
          <cell r="E463">
            <v>7.4892953487042304E-3</v>
          </cell>
          <cell r="F463">
            <v>7.4884267018401037E-3</v>
          </cell>
          <cell r="G463">
            <v>7.4873368897799553E-3</v>
          </cell>
          <cell r="H463">
            <v>4.2166459058740951E-3</v>
          </cell>
          <cell r="I463">
            <v>2.732782584220769E-3</v>
          </cell>
        </row>
        <row r="464">
          <cell r="A464" t="str">
            <v>D-RHNM_LTH_CHPNGA</v>
          </cell>
          <cell r="B464" t="str">
            <v>VAR_fout</v>
          </cell>
          <cell r="C464" t="str">
            <v>RHSA_LTH</v>
          </cell>
          <cell r="D464">
            <v>1.1516280228733318E-5</v>
          </cell>
          <cell r="E464">
            <v>3.5882567619153197E-5</v>
          </cell>
          <cell r="F464">
            <v>3.3748481804254573E-3</v>
          </cell>
          <cell r="G464">
            <v>1.0654034142757536E-4</v>
          </cell>
          <cell r="H464">
            <v>0.11406263624739466</v>
          </cell>
          <cell r="I464">
            <v>6.8410337189629038E-4</v>
          </cell>
        </row>
        <row r="465">
          <cell r="A465" t="str">
            <v>D-RHNM_LTH_CHPNGA</v>
          </cell>
          <cell r="B465" t="str">
            <v>VAR_fout</v>
          </cell>
          <cell r="C465" t="str">
            <v>LTH</v>
          </cell>
          <cell r="F465">
            <v>3.6702245005663771E-7</v>
          </cell>
          <cell r="H465">
            <v>1.3424768685446576E-4</v>
          </cell>
          <cell r="I465">
            <v>1.7773680319816529E-7</v>
          </cell>
        </row>
        <row r="466">
          <cell r="A466" t="str">
            <v>D-RHNM_LTH_CHPNGA</v>
          </cell>
          <cell r="B466" t="str">
            <v>VAR_fout</v>
          </cell>
          <cell r="C466" t="str">
            <v>RHNM_LTH_CHPNGA_ON</v>
          </cell>
          <cell r="D466">
            <v>3.5966960394700888E-6</v>
          </cell>
          <cell r="E466">
            <v>2.6341336359816826E-3</v>
          </cell>
          <cell r="F466">
            <v>1.0232335830118149E-4</v>
          </cell>
          <cell r="G466">
            <v>1.0918135532539096E-3</v>
          </cell>
          <cell r="H466">
            <v>0.10597010952923418</v>
          </cell>
        </row>
        <row r="467">
          <cell r="A467" t="str">
            <v>D-RHNM_LTH_CHPNGA</v>
          </cell>
          <cell r="B467" t="str">
            <v>VAR_fin</v>
          </cell>
          <cell r="C467" t="str">
            <v>RHNM_LTH_CHPNGA</v>
          </cell>
          <cell r="D467">
            <v>1.5112976268203408E-5</v>
          </cell>
          <cell r="E467">
            <v>2.6704514798867513E-3</v>
          </cell>
          <cell r="F467">
            <v>3.4783235498214221E-3</v>
          </cell>
          <cell r="G467">
            <v>1.199168421017196E-3</v>
          </cell>
          <cell r="H467">
            <v>0.22016699346348337</v>
          </cell>
          <cell r="I467">
            <v>6.8545282689551834E-4</v>
          </cell>
        </row>
        <row r="468">
          <cell r="A468" t="str">
            <v>RHNM-SHELCHP</v>
          </cell>
          <cell r="B468" t="str">
            <v>VAR_fout</v>
          </cell>
          <cell r="C468" t="str">
            <v>RHNM-SHAELCH</v>
          </cell>
          <cell r="E468">
            <v>3.2160582302291553E-4</v>
          </cell>
          <cell r="F468">
            <v>0.81998290367698867</v>
          </cell>
          <cell r="G468">
            <v>1.2843991222692002</v>
          </cell>
          <cell r="H468">
            <v>2.2215013476625542</v>
          </cell>
          <cell r="I468">
            <v>2.8924663118778104</v>
          </cell>
        </row>
        <row r="469">
          <cell r="A469" t="str">
            <v>RHNM-SHELCHP</v>
          </cell>
          <cell r="B469" t="str">
            <v>VAR_fin</v>
          </cell>
          <cell r="C469" t="str">
            <v>RHNM_ELC</v>
          </cell>
          <cell r="E469">
            <v>9.8854248879994629E-5</v>
          </cell>
          <cell r="F469">
            <v>0.23939970447126188</v>
          </cell>
          <cell r="G469">
            <v>0.35779739011060263</v>
          </cell>
          <cell r="H469">
            <v>0.57049043209187889</v>
          </cell>
          <cell r="I469">
            <v>0.68748299133378654</v>
          </cell>
        </row>
        <row r="470">
          <cell r="A470" t="str">
            <v>RHNM-SHELCHP</v>
          </cell>
          <cell r="B470" t="str">
            <v>VAR_fin</v>
          </cell>
          <cell r="C470" t="str">
            <v>RHNMELCHPC</v>
          </cell>
          <cell r="E470">
            <v>3.2160582302291553E-4</v>
          </cell>
          <cell r="F470">
            <v>0.81998290367698867</v>
          </cell>
          <cell r="G470">
            <v>1.2843991222692002</v>
          </cell>
          <cell r="H470">
            <v>2.2215013476625542</v>
          </cell>
          <cell r="I470">
            <v>2.8924663118778104</v>
          </cell>
        </row>
        <row r="471">
          <cell r="A471" t="str">
            <v>RHNM-SHELCHP</v>
          </cell>
          <cell r="B471" t="str">
            <v>VAR_ncap</v>
          </cell>
          <cell r="C471" t="str">
            <v>-</v>
          </cell>
          <cell r="E471">
            <v>3.0940739659824197E-4</v>
          </cell>
          <cell r="F471">
            <v>6.3458181880369002E-2</v>
          </cell>
          <cell r="G471">
            <v>3.59956284579128E-2</v>
          </cell>
          <cell r="H471">
            <v>0.10001902288127799</v>
          </cell>
          <cell r="I471">
            <v>0.135746225770802</v>
          </cell>
        </row>
        <row r="472">
          <cell r="A472" t="str">
            <v>RHNM-SHELCHP</v>
          </cell>
          <cell r="B472" t="str">
            <v>VAR_cap</v>
          </cell>
          <cell r="C472" t="str">
            <v>-</v>
          </cell>
          <cell r="E472">
            <v>3.0940739659824197E-4</v>
          </cell>
          <cell r="F472">
            <v>6.3767393181302853E-2</v>
          </cell>
          <cell r="G472">
            <v>9.9762818510166426E-2</v>
          </cell>
          <cell r="H472">
            <v>0.17501124848178329</v>
          </cell>
          <cell r="I472">
            <v>0.22490112658462016</v>
          </cell>
        </row>
        <row r="473">
          <cell r="A473" t="str">
            <v>D-IH2R</v>
          </cell>
          <cell r="B473" t="str">
            <v>VAR_fout</v>
          </cell>
          <cell r="C473" t="str">
            <v>IH2</v>
          </cell>
          <cell r="G473">
            <v>13.982308811986373</v>
          </cell>
          <cell r="H473">
            <v>13.867475422791339</v>
          </cell>
          <cell r="I473">
            <v>7.930023109398503</v>
          </cell>
        </row>
        <row r="474">
          <cell r="A474" t="str">
            <v>D-IH2R</v>
          </cell>
          <cell r="B474" t="str">
            <v>VAR_fin</v>
          </cell>
          <cell r="C474" t="str">
            <v>H2</v>
          </cell>
          <cell r="G474">
            <v>13.982308811986373</v>
          </cell>
          <cell r="H474">
            <v>13.867475422791339</v>
          </cell>
          <cell r="I474">
            <v>7.930023109398503</v>
          </cell>
        </row>
        <row r="475">
          <cell r="A475" t="str">
            <v>D-IH2R</v>
          </cell>
          <cell r="B475" t="str">
            <v>VAR_ncap</v>
          </cell>
          <cell r="C475" t="str">
            <v>-</v>
          </cell>
          <cell r="G475">
            <v>0.49264247243787901</v>
          </cell>
          <cell r="H475">
            <v>0.46205415084894202</v>
          </cell>
          <cell r="I475">
            <v>0.121138075573395</v>
          </cell>
        </row>
        <row r="476">
          <cell r="A476" t="str">
            <v>D-IH2R</v>
          </cell>
          <cell r="B476" t="str">
            <v>VAR_cap</v>
          </cell>
          <cell r="C476" t="str">
            <v>-</v>
          </cell>
          <cell r="G476">
            <v>0.49264247243787901</v>
          </cell>
          <cell r="H476">
            <v>0.48860016935968098</v>
          </cell>
          <cell r="I476">
            <v>0.27940143938557399</v>
          </cell>
        </row>
        <row r="477">
          <cell r="A477" t="str">
            <v>RHEM-SHSTG-ELC</v>
          </cell>
          <cell r="B477" t="str">
            <v>VAR_fout</v>
          </cell>
          <cell r="C477" t="str">
            <v>RHEM-SHAELCB</v>
          </cell>
          <cell r="D477">
            <v>7.148766039289509E-8</v>
          </cell>
          <cell r="E477">
            <v>0.49125352212111206</v>
          </cell>
          <cell r="F477">
            <v>5.9557338812720635E-3</v>
          </cell>
          <cell r="G477">
            <v>1.7502243572910658E-3</v>
          </cell>
          <cell r="H477">
            <v>2.7417805997014216E-4</v>
          </cell>
          <cell r="I477">
            <v>3.5417592009414213E-4</v>
          </cell>
        </row>
        <row r="478">
          <cell r="A478" t="str">
            <v>RHEM-SHSTG-ELC</v>
          </cell>
          <cell r="B478" t="str">
            <v>VAR_fin</v>
          </cell>
          <cell r="C478" t="str">
            <v>RHEM-SHAELCB</v>
          </cell>
          <cell r="D478">
            <v>1.2161214429041786E-6</v>
          </cell>
          <cell r="E478">
            <v>0.49127440006282663</v>
          </cell>
          <cell r="F478">
            <v>5.9545379468293807E-3</v>
          </cell>
          <cell r="G478">
            <v>1.7489385349563336E-3</v>
          </cell>
          <cell r="H478">
            <v>2.7466932408633791E-4</v>
          </cell>
          <cell r="I478">
            <v>3.5397222823761005E-4</v>
          </cell>
        </row>
        <row r="479">
          <cell r="A479" t="str">
            <v>RHEM-SHSTG-ELC</v>
          </cell>
          <cell r="B479" t="str">
            <v>VAR_ncap</v>
          </cell>
          <cell r="C479" t="str">
            <v>-</v>
          </cell>
          <cell r="D479">
            <v>9.2809377649267603E-3</v>
          </cell>
          <cell r="E479">
            <v>4.1874156892388097E-2</v>
          </cell>
          <cell r="F479">
            <v>1.7720694606477001E-5</v>
          </cell>
          <cell r="G479">
            <v>1.58085533733364E-5</v>
          </cell>
          <cell r="H479">
            <v>4.3558616923884298E-5</v>
          </cell>
          <cell r="I479">
            <v>3.5566787401068201E-5</v>
          </cell>
        </row>
        <row r="480">
          <cell r="A480" t="str">
            <v>RHEM-SHSTG-ELC</v>
          </cell>
          <cell r="B480" t="str">
            <v>VAR_cap</v>
          </cell>
          <cell r="C480" t="str">
            <v>-</v>
          </cell>
          <cell r="D480">
            <v>9.2809377649267603E-3</v>
          </cell>
          <cell r="E480">
            <v>5.1129724050056793E-2</v>
          </cell>
          <cell r="F480">
            <v>1.0406605356729007E-3</v>
          </cell>
          <cell r="G480">
            <v>3.2714946154109581E-4</v>
          </cell>
          <cell r="H480">
            <v>6.0573755630261911E-5</v>
          </cell>
          <cell r="I480">
            <v>6.2757474612346801E-5</v>
          </cell>
        </row>
        <row r="481">
          <cell r="A481" t="str">
            <v>RHNM-SHLTHCHPWOD</v>
          </cell>
          <cell r="B481" t="str">
            <v>VAR_ncap</v>
          </cell>
          <cell r="C481" t="str">
            <v>-</v>
          </cell>
          <cell r="G481">
            <v>1.64144726011419E-4</v>
          </cell>
          <cell r="H481">
            <v>2.26008861148091E-4</v>
          </cell>
          <cell r="I481">
            <v>6.9282815142537404E-5</v>
          </cell>
        </row>
        <row r="482">
          <cell r="A482" t="str">
            <v>RHNM-SHLTHCHPWOD</v>
          </cell>
          <cell r="B482" t="str">
            <v>VAR_cap</v>
          </cell>
          <cell r="C482" t="str">
            <v>-</v>
          </cell>
          <cell r="G482">
            <v>1.64144726011419E-4</v>
          </cell>
          <cell r="H482">
            <v>3.4930507978760903E-4</v>
          </cell>
          <cell r="I482">
            <v>1.3040785897553599E-4</v>
          </cell>
        </row>
        <row r="483">
          <cell r="A483" t="str">
            <v>ITOT-SWHDEM</v>
          </cell>
          <cell r="B483" t="str">
            <v>VAR_fout</v>
          </cell>
          <cell r="C483" t="str">
            <v>ITOT-SWHD</v>
          </cell>
          <cell r="D483">
            <v>72.708169056255471</v>
          </cell>
          <cell r="E483">
            <v>74.111154758224004</v>
          </cell>
          <cell r="F483">
            <v>75.692598758160898</v>
          </cell>
          <cell r="G483">
            <v>76.679221044440467</v>
          </cell>
          <cell r="H483">
            <v>77.235103262790986</v>
          </cell>
          <cell r="I483">
            <v>77.836443425572725</v>
          </cell>
        </row>
        <row r="484">
          <cell r="A484" t="str">
            <v>ITOT-SWHDEM</v>
          </cell>
          <cell r="B484" t="str">
            <v>VAR_fin</v>
          </cell>
          <cell r="C484" t="str">
            <v>ITOT-SWHNGAH</v>
          </cell>
          <cell r="F484">
            <v>9.342395966058974E-3</v>
          </cell>
          <cell r="G484">
            <v>9.3707036429011171E-3</v>
          </cell>
          <cell r="H484">
            <v>1.0619486238791137E-2</v>
          </cell>
          <cell r="I484">
            <v>3.7348980454975735E-3</v>
          </cell>
        </row>
        <row r="485">
          <cell r="A485" t="str">
            <v>ITOT-SWHDEM</v>
          </cell>
          <cell r="B485" t="str">
            <v>VAR_fin</v>
          </cell>
          <cell r="C485" t="str">
            <v>ITOT-SWH</v>
          </cell>
          <cell r="D485">
            <v>61.718495082766985</v>
          </cell>
          <cell r="E485">
            <v>58.030890414762581</v>
          </cell>
          <cell r="F485">
            <v>54.602446730881333</v>
          </cell>
          <cell r="G485">
            <v>55.656568362953166</v>
          </cell>
          <cell r="H485">
            <v>53.838924100261885</v>
          </cell>
          <cell r="I485">
            <v>51.935804268193941</v>
          </cell>
        </row>
        <row r="486">
          <cell r="A486" t="str">
            <v>ITOT-SWHDEM</v>
          </cell>
          <cell r="B486" t="str">
            <v>VAR_fin</v>
          </cell>
          <cell r="C486" t="str">
            <v>ITOT-SWHELCH</v>
          </cell>
          <cell r="D486">
            <v>1.1081275654045448</v>
          </cell>
          <cell r="E486">
            <v>1.4007918915072142</v>
          </cell>
          <cell r="F486">
            <v>3.1458955094689789</v>
          </cell>
          <cell r="G486">
            <v>3.1420020105462165</v>
          </cell>
          <cell r="H486">
            <v>5.011832618166749</v>
          </cell>
          <cell r="I486">
            <v>6.1325436169276362</v>
          </cell>
        </row>
        <row r="487">
          <cell r="A487" t="str">
            <v>ITOT-SWHDEM</v>
          </cell>
          <cell r="B487" t="str">
            <v>VAR_fin</v>
          </cell>
          <cell r="C487" t="str">
            <v>ITOT-SWHC</v>
          </cell>
          <cell r="E487">
            <v>4.2590004998120659</v>
          </cell>
          <cell r="F487">
            <v>4.2590465537030493</v>
          </cell>
          <cell r="G487">
            <v>4.2590393321013442</v>
          </cell>
          <cell r="H487">
            <v>4.8296928725493613</v>
          </cell>
          <cell r="I487">
            <v>6.3074294749770337</v>
          </cell>
        </row>
        <row r="488">
          <cell r="A488" t="str">
            <v>ITOT-SWHDEM</v>
          </cell>
          <cell r="B488" t="str">
            <v>VAR_fin</v>
          </cell>
          <cell r="C488" t="str">
            <v>ITOT-SWHELC</v>
          </cell>
          <cell r="D488">
            <v>9.8139037441822925</v>
          </cell>
          <cell r="E488">
            <v>10.335084483667837</v>
          </cell>
          <cell r="F488">
            <v>13.57599081242854</v>
          </cell>
          <cell r="G488">
            <v>13.506906458831578</v>
          </cell>
          <cell r="H488">
            <v>13.44424534719492</v>
          </cell>
          <cell r="I488">
            <v>13.39095646175997</v>
          </cell>
        </row>
        <row r="489">
          <cell r="A489" t="str">
            <v>ITOT-SWHDEM</v>
          </cell>
          <cell r="B489" t="str">
            <v>VAR_fin</v>
          </cell>
          <cell r="C489" t="str">
            <v>ITOT-SWHSOL</v>
          </cell>
          <cell r="D489">
            <v>6.7642663901681666E-2</v>
          </cell>
          <cell r="E489">
            <v>8.5504951644311655E-2</v>
          </cell>
          <cell r="F489">
            <v>0.10000582714712006</v>
          </cell>
          <cell r="G489">
            <v>0.10544423900527478</v>
          </cell>
          <cell r="H489">
            <v>9.9899999293431727E-2</v>
          </cell>
          <cell r="I489">
            <v>6.6041643944613829E-2</v>
          </cell>
        </row>
        <row r="490">
          <cell r="A490" t="str">
            <v>D-RHNS_NKEV_GAS_ELC_CHP</v>
          </cell>
          <cell r="B490" t="str">
            <v>VAR_fout</v>
          </cell>
          <cell r="C490" t="str">
            <v>RHNS_ELC</v>
          </cell>
          <cell r="E490">
            <v>2.2687316866631618E-4</v>
          </cell>
          <cell r="F490">
            <v>4.8918266631915969E-4</v>
          </cell>
          <cell r="G490">
            <v>2.8271857571394559E-4</v>
          </cell>
          <cell r="H490">
            <v>8.3433019147305647E-4</v>
          </cell>
          <cell r="I490">
            <v>2.103436467520321E-4</v>
          </cell>
        </row>
        <row r="491">
          <cell r="A491" t="str">
            <v>D-RHNS_NKEV_GAS_ELC_CHP</v>
          </cell>
          <cell r="B491" t="str">
            <v>VAR_fout</v>
          </cell>
          <cell r="C491" t="str">
            <v>ELC5</v>
          </cell>
          <cell r="E491">
            <v>2.2686887380969067E-4</v>
          </cell>
          <cell r="F491">
            <v>4.8975270915916171E-4</v>
          </cell>
          <cell r="G491">
            <v>2.8281443028791353E-4</v>
          </cell>
          <cell r="H491">
            <v>8.3506864319827156E-4</v>
          </cell>
          <cell r="I491">
            <v>2.103281344878313E-4</v>
          </cell>
        </row>
        <row r="492">
          <cell r="A492" t="str">
            <v>D-RHNS_NKEV_GAS_ELC_CHP</v>
          </cell>
          <cell r="B492" t="str">
            <v>VAR_fin</v>
          </cell>
          <cell r="C492" t="str">
            <v>RHNS_NKEV_GAS_ELC_CHP</v>
          </cell>
          <cell r="E492">
            <v>4.5374204247600701E-4</v>
          </cell>
          <cell r="F492">
            <v>9.7402154677090117E-4</v>
          </cell>
          <cell r="G492">
            <v>5.6553300600185863E-4</v>
          </cell>
          <cell r="H492">
            <v>1.6693988346713263E-3</v>
          </cell>
          <cell r="I492">
            <v>4.2067178123986329E-4</v>
          </cell>
        </row>
        <row r="493">
          <cell r="A493" t="str">
            <v>RHNM-SHSTG-NGAHP</v>
          </cell>
          <cell r="B493" t="str">
            <v>VAR_fout</v>
          </cell>
          <cell r="C493" t="str">
            <v>RHNM-SHANGAH</v>
          </cell>
          <cell r="F493">
            <v>1.1817032339927477E-2</v>
          </cell>
          <cell r="G493">
            <v>0.11936583964745634</v>
          </cell>
          <cell r="H493">
            <v>0.10148255286986334</v>
          </cell>
          <cell r="I493">
            <v>0.28350035995091272</v>
          </cell>
        </row>
        <row r="494">
          <cell r="A494" t="str">
            <v>RHNM-SHSTG-NGAHP</v>
          </cell>
          <cell r="B494" t="str">
            <v>VAR_fin</v>
          </cell>
          <cell r="C494" t="str">
            <v>RHNM-SHANGAH</v>
          </cell>
          <cell r="F494">
            <v>1.1824983777477007E-2</v>
          </cell>
          <cell r="G494">
            <v>0.11937718683673079</v>
          </cell>
          <cell r="H494">
            <v>0.10149389870974948</v>
          </cell>
          <cell r="I494">
            <v>0.28351791828585843</v>
          </cell>
        </row>
        <row r="495">
          <cell r="A495" t="str">
            <v>RHNM-SHSTG-NGAHP</v>
          </cell>
          <cell r="B495" t="str">
            <v>VAR_ncap</v>
          </cell>
          <cell r="C495" t="str">
            <v>-</v>
          </cell>
          <cell r="D495">
            <v>1.89808181820497E-5</v>
          </cell>
          <cell r="E495">
            <v>3.6155710794960199E-6</v>
          </cell>
          <cell r="F495">
            <v>3.95529458700927E-3</v>
          </cell>
          <cell r="G495">
            <v>8.6747788948387007E-3</v>
          </cell>
          <cell r="H495">
            <v>1.0444900307978599E-2</v>
          </cell>
          <cell r="I495">
            <v>1.7030687449101901E-2</v>
          </cell>
        </row>
        <row r="496">
          <cell r="A496" t="str">
            <v>RHNM-SHSTG-NGAHP</v>
          </cell>
          <cell r="B496" t="str">
            <v>VAR_cap</v>
          </cell>
          <cell r="C496" t="str">
            <v>-</v>
          </cell>
          <cell r="D496">
            <v>1.89808181820497E-5</v>
          </cell>
          <cell r="E496">
            <v>4.5944616652590176E-7</v>
          </cell>
          <cell r="F496">
            <v>3.9529597206102085E-3</v>
          </cell>
          <cell r="G496">
            <v>1.2614637180245138E-2</v>
          </cell>
          <cell r="H496">
            <v>2.2456136543916538E-2</v>
          </cell>
          <cell r="I496">
            <v>2.6869835458622683E-2</v>
          </cell>
        </row>
        <row r="497">
          <cell r="A497" t="str">
            <v>D-IBIO</v>
          </cell>
          <cell r="B497" t="str">
            <v>VAR_fout</v>
          </cell>
          <cell r="C497" t="str">
            <v>IBIO</v>
          </cell>
          <cell r="D497">
            <v>0.43672663223574698</v>
          </cell>
          <cell r="E497">
            <v>0.55206543791269702</v>
          </cell>
          <cell r="F497">
            <v>2.8269147152373924</v>
          </cell>
          <cell r="G497">
            <v>2.8269202548216881</v>
          </cell>
          <cell r="H497">
            <v>6.0466041242177466</v>
          </cell>
          <cell r="I497">
            <v>6.04661235613138</v>
          </cell>
        </row>
        <row r="498">
          <cell r="A498" t="str">
            <v>D-IBIO</v>
          </cell>
          <cell r="B498" t="str">
            <v>VAR_fin</v>
          </cell>
          <cell r="C498" t="str">
            <v>BIO</v>
          </cell>
          <cell r="D498">
            <v>0.43672663223574698</v>
          </cell>
          <cell r="E498">
            <v>0.55206543791269702</v>
          </cell>
          <cell r="F498">
            <v>2.8269147152373924</v>
          </cell>
          <cell r="G498">
            <v>2.8269202548216881</v>
          </cell>
          <cell r="H498">
            <v>6.0466041242177466</v>
          </cell>
          <cell r="I498">
            <v>6.04661235613138</v>
          </cell>
        </row>
        <row r="499">
          <cell r="A499" t="str">
            <v>D-RHES_KEV_WOD_ELC_CHP</v>
          </cell>
          <cell r="B499" t="str">
            <v>VAR_fout</v>
          </cell>
          <cell r="C499" t="str">
            <v>RHES_ELC</v>
          </cell>
          <cell r="G499">
            <v>1.6131682502196285E-4</v>
          </cell>
          <cell r="H499">
            <v>3.9135574655594361E-4</v>
          </cell>
          <cell r="I499">
            <v>1.5588450529655822E-4</v>
          </cell>
        </row>
        <row r="500">
          <cell r="A500" t="str">
            <v>D-RHES_KEV_WOD_ELC_CHP</v>
          </cell>
          <cell r="B500" t="str">
            <v>VAR_fout</v>
          </cell>
          <cell r="C500" t="str">
            <v>ELC5</v>
          </cell>
          <cell r="G500">
            <v>2.7851377516736458E-4</v>
          </cell>
          <cell r="H500">
            <v>3.9142736410263082E-4</v>
          </cell>
          <cell r="I500">
            <v>1.5588473170961221E-4</v>
          </cell>
        </row>
        <row r="501">
          <cell r="A501" t="str">
            <v>D-RHES_KEV_WOD_ELC_CHP</v>
          </cell>
          <cell r="B501" t="str">
            <v>VAR_fin</v>
          </cell>
          <cell r="C501" t="str">
            <v>RHES_KEV_WOD_ELC_CHP</v>
          </cell>
          <cell r="G501">
            <v>4.3866300826827815E-4</v>
          </cell>
          <cell r="H501">
            <v>7.7888901828921753E-4</v>
          </cell>
          <cell r="I501">
            <v>3.0906707838650763E-4</v>
          </cell>
        </row>
        <row r="502">
          <cell r="A502" t="str">
            <v>RHNS-SHLFOBR</v>
          </cell>
          <cell r="B502" t="str">
            <v>VAR_fout</v>
          </cell>
          <cell r="C502" t="str">
            <v>CO2_R</v>
          </cell>
          <cell r="E502">
            <v>5.7798564658257199E-3</v>
          </cell>
          <cell r="F502">
            <v>1.7340436994214199</v>
          </cell>
          <cell r="G502">
            <v>3.6732209410219299</v>
          </cell>
          <cell r="H502">
            <v>3.2316959368523102</v>
          </cell>
        </row>
        <row r="503">
          <cell r="A503" t="str">
            <v>RHNS-SHLFOBR</v>
          </cell>
          <cell r="B503" t="str">
            <v>VAR_fout</v>
          </cell>
          <cell r="C503" t="str">
            <v>RHNS-SHLFO</v>
          </cell>
          <cell r="E503">
            <v>7.0254926512467911E-5</v>
          </cell>
          <cell r="F503">
            <v>2.2280292174034492E-2</v>
          </cell>
          <cell r="G503">
            <v>4.7212771450882644E-2</v>
          </cell>
          <cell r="H503">
            <v>4.1538383107744804E-2</v>
          </cell>
        </row>
        <row r="504">
          <cell r="A504" t="str">
            <v>RHNS-SHLFOBR</v>
          </cell>
          <cell r="B504" t="str">
            <v>VAR_fin</v>
          </cell>
          <cell r="C504" t="str">
            <v>RLFO</v>
          </cell>
          <cell r="E504">
            <v>7.8424104013917535E-5</v>
          </cell>
          <cell r="F504">
            <v>2.3528408404632505E-2</v>
          </cell>
          <cell r="G504">
            <v>4.9840175590528162E-2</v>
          </cell>
          <cell r="H504">
            <v>4.3849334285648675E-2</v>
          </cell>
        </row>
        <row r="505">
          <cell r="A505" t="str">
            <v>RHNS-SHLFOBR</v>
          </cell>
          <cell r="B505" t="str">
            <v>VAR_ncap</v>
          </cell>
          <cell r="C505" t="str">
            <v>-</v>
          </cell>
          <cell r="E505">
            <v>2.01600413906835E-5</v>
          </cell>
          <cell r="F505">
            <v>1.7099039320917501E-2</v>
          </cell>
        </row>
        <row r="506">
          <cell r="A506" t="str">
            <v>RHNS-SHLFOBR</v>
          </cell>
          <cell r="B506" t="str">
            <v>VAR_cap</v>
          </cell>
          <cell r="C506" t="str">
            <v>-</v>
          </cell>
          <cell r="E506">
            <v>2.01600413906835E-5</v>
          </cell>
          <cell r="F506">
            <v>1.7114318279897511E-2</v>
          </cell>
          <cell r="G506">
            <v>1.7110364283719759E-2</v>
          </cell>
          <cell r="H506">
            <v>3.0285951830781328E-3</v>
          </cell>
        </row>
        <row r="507">
          <cell r="A507" t="str">
            <v>D-SNGA</v>
          </cell>
          <cell r="B507" t="str">
            <v>VAR_fout</v>
          </cell>
          <cell r="C507" t="str">
            <v>CO2</v>
          </cell>
          <cell r="D507">
            <v>1522.6009704358901</v>
          </cell>
          <cell r="E507">
            <v>1528.09375879657</v>
          </cell>
          <cell r="F507">
            <v>1285.13384332693</v>
          </cell>
          <cell r="G507">
            <v>984.03670794196296</v>
          </cell>
          <cell r="H507">
            <v>550.59213618772105</v>
          </cell>
          <cell r="I507">
            <v>200.99058812268399</v>
          </cell>
        </row>
        <row r="508">
          <cell r="A508" t="str">
            <v>D-SNGA</v>
          </cell>
          <cell r="B508" t="str">
            <v>VAR_fout</v>
          </cell>
          <cell r="C508" t="str">
            <v>SNGA</v>
          </cell>
          <cell r="D508">
            <v>27.215203926982579</v>
          </cell>
          <cell r="E508">
            <v>28.48868049719249</v>
          </cell>
          <cell r="F508">
            <v>23.875925191253689</v>
          </cell>
          <cell r="G508">
            <v>20.301488278369057</v>
          </cell>
          <cell r="H508">
            <v>10.836094381232114</v>
          </cell>
          <cell r="I508">
            <v>6.6507514631163849</v>
          </cell>
        </row>
        <row r="509">
          <cell r="A509" t="str">
            <v>D-SNGA</v>
          </cell>
          <cell r="B509" t="str">
            <v>VAR_fin</v>
          </cell>
          <cell r="C509" t="str">
            <v>NGA</v>
          </cell>
          <cell r="D509">
            <v>26.996471107019321</v>
          </cell>
          <cell r="E509">
            <v>27.093860971570358</v>
          </cell>
          <cell r="F509">
            <v>22.786061051895903</v>
          </cell>
          <cell r="G509">
            <v>17.447459360673097</v>
          </cell>
          <cell r="H509">
            <v>9.7622719182219964</v>
          </cell>
          <cell r="I509">
            <v>3.563662909976673</v>
          </cell>
        </row>
        <row r="510">
          <cell r="A510" t="str">
            <v>D-SNGA</v>
          </cell>
          <cell r="B510" t="str">
            <v>VAR_fin</v>
          </cell>
          <cell r="C510" t="str">
            <v>BNGA</v>
          </cell>
          <cell r="D510">
            <v>0.30567504352149838</v>
          </cell>
          <cell r="E510">
            <v>1.4858300223765049</v>
          </cell>
          <cell r="F510">
            <v>1.1580587710950494</v>
          </cell>
          <cell r="G510">
            <v>2.327189482761844</v>
          </cell>
          <cell r="H510">
            <v>1.0778403188998869</v>
          </cell>
          <cell r="I510">
            <v>2.9264676047181148</v>
          </cell>
        </row>
        <row r="511">
          <cell r="A511" t="str">
            <v>D-SNGA</v>
          </cell>
          <cell r="B511" t="str">
            <v>VAR_fin</v>
          </cell>
          <cell r="C511" t="str">
            <v>H2</v>
          </cell>
          <cell r="F511">
            <v>8.0798665618129744E-3</v>
          </cell>
          <cell r="G511">
            <v>0.59176061619126319</v>
          </cell>
          <cell r="H511">
            <v>3.0855174678974348E-2</v>
          </cell>
          <cell r="I511">
            <v>0.18202972854349139</v>
          </cell>
        </row>
        <row r="512">
          <cell r="A512" t="str">
            <v>D-SNGA</v>
          </cell>
          <cell r="B512" t="str">
            <v>VAR_ncap</v>
          </cell>
          <cell r="C512" t="str">
            <v>-</v>
          </cell>
          <cell r="D512">
            <v>6.20462874602135E-7</v>
          </cell>
          <cell r="E512">
            <v>1.66990401111384E-7</v>
          </cell>
          <cell r="F512">
            <v>2.7728721495064199E-7</v>
          </cell>
          <cell r="G512">
            <v>2.76510477870208E-7</v>
          </cell>
          <cell r="H512">
            <v>6.82929337374226E-7</v>
          </cell>
          <cell r="I512">
            <v>1.2179410748087301E-6</v>
          </cell>
        </row>
        <row r="513">
          <cell r="A513" t="str">
            <v>D-SNGA</v>
          </cell>
          <cell r="B513" t="str">
            <v>VAR_cap</v>
          </cell>
          <cell r="C513" t="str">
            <v>-</v>
          </cell>
          <cell r="D513">
            <v>2.2350528220880146</v>
          </cell>
          <cell r="E513">
            <v>2.2350529890784161</v>
          </cell>
          <cell r="F513">
            <v>2.2350532663656311</v>
          </cell>
          <cell r="G513">
            <v>2.2350535428761087</v>
          </cell>
          <cell r="H513">
            <v>2.2350547657949869</v>
          </cell>
          <cell r="I513">
            <v>1.1208942845997814</v>
          </cell>
        </row>
        <row r="514">
          <cell r="A514" t="str">
            <v>D-IPLT</v>
          </cell>
          <cell r="B514" t="str">
            <v>VAR_fout</v>
          </cell>
          <cell r="C514" t="str">
            <v>IPLT</v>
          </cell>
          <cell r="D514">
            <v>0.62578816168411933</v>
          </cell>
          <cell r="E514">
            <v>0.73757359393042432</v>
          </cell>
          <cell r="F514">
            <v>0.73850156567872249</v>
          </cell>
          <cell r="G514">
            <v>0.73644775876674984</v>
          </cell>
          <cell r="H514">
            <v>0.73236019332500135</v>
          </cell>
          <cell r="I514">
            <v>0.72832055445824673</v>
          </cell>
        </row>
        <row r="515">
          <cell r="A515" t="str">
            <v>D-IPLT</v>
          </cell>
          <cell r="B515" t="str">
            <v>VAR_fin</v>
          </cell>
          <cell r="C515" t="str">
            <v>PLT</v>
          </cell>
          <cell r="D515">
            <v>0.62578816168411933</v>
          </cell>
          <cell r="E515">
            <v>0.73757359393042432</v>
          </cell>
          <cell r="F515">
            <v>0.73850156567872249</v>
          </cell>
          <cell r="G515">
            <v>0.73644775876674984</v>
          </cell>
          <cell r="H515">
            <v>0.73236019332500135</v>
          </cell>
          <cell r="I515">
            <v>0.72832055445824673</v>
          </cell>
        </row>
        <row r="516">
          <cell r="A516" t="str">
            <v>ITOT-SWHWODBR</v>
          </cell>
          <cell r="B516" t="str">
            <v>VAR_fout</v>
          </cell>
          <cell r="C516" t="str">
            <v>ITOT-SWH</v>
          </cell>
          <cell r="D516">
            <v>5.3111197026732508</v>
          </cell>
          <cell r="E516">
            <v>6.2669387472082114</v>
          </cell>
          <cell r="F516">
            <v>5.7741594157643759</v>
          </cell>
          <cell r="G516">
            <v>5.8614337811935178</v>
          </cell>
          <cell r="H516">
            <v>7.5952431878231819</v>
          </cell>
          <cell r="I516">
            <v>5.7825407660602908</v>
          </cell>
        </row>
        <row r="517">
          <cell r="A517" t="str">
            <v>ITOT-SWHWODBR</v>
          </cell>
          <cell r="B517" t="str">
            <v>VAR_fin</v>
          </cell>
          <cell r="C517" t="str">
            <v>IWOD</v>
          </cell>
          <cell r="D517">
            <v>9.0018978011410908</v>
          </cell>
          <cell r="E517">
            <v>10.609941445612098</v>
          </cell>
          <cell r="F517">
            <v>9.759142674531347</v>
          </cell>
          <cell r="G517">
            <v>9.878820979539638</v>
          </cell>
          <cell r="H517">
            <v>12.729457856686876</v>
          </cell>
          <cell r="I517">
            <v>9.6375679434338171</v>
          </cell>
        </row>
        <row r="518">
          <cell r="A518" t="str">
            <v>ITOT-SWHWODBR</v>
          </cell>
          <cell r="B518" t="str">
            <v>VAR_fin</v>
          </cell>
          <cell r="C518" t="str">
            <v>ITOTWODBRC</v>
          </cell>
          <cell r="D518">
            <v>5.3111197026732508</v>
          </cell>
          <cell r="E518">
            <v>6.2669387472082114</v>
          </cell>
          <cell r="F518">
            <v>5.7741594157643759</v>
          </cell>
          <cell r="G518">
            <v>5.8614337811935178</v>
          </cell>
          <cell r="H518">
            <v>7.5952431878231819</v>
          </cell>
          <cell r="I518">
            <v>5.7825407660602908</v>
          </cell>
        </row>
        <row r="519">
          <cell r="A519" t="str">
            <v>ITOT-SWHWODBR</v>
          </cell>
          <cell r="B519" t="str">
            <v>VAR_ncap</v>
          </cell>
          <cell r="C519" t="str">
            <v>-</v>
          </cell>
          <cell r="E519">
            <v>5.2327320700358199E-2</v>
          </cell>
          <cell r="F519">
            <v>1.03777093999315E-5</v>
          </cell>
          <cell r="G519">
            <v>2.83373136846474E-5</v>
          </cell>
          <cell r="H519">
            <v>0.23653158652164599</v>
          </cell>
          <cell r="I519">
            <v>0.109487215814912</v>
          </cell>
        </row>
        <row r="520">
          <cell r="A520" t="str">
            <v>ITOT-SWHWODBR</v>
          </cell>
          <cell r="B520" t="str">
            <v>VAR_cap</v>
          </cell>
          <cell r="C520" t="str">
            <v>-</v>
          </cell>
          <cell r="D520">
            <v>0.28883369534761499</v>
          </cell>
          <cell r="E520">
            <v>0.34115969122063333</v>
          </cell>
          <cell r="F520">
            <v>0.34112698127937158</v>
          </cell>
          <cell r="G520">
            <v>0.3411237117737036</v>
          </cell>
          <cell r="H520">
            <v>0.51434370695831488</v>
          </cell>
          <cell r="I520">
            <v>0.39862287280798187</v>
          </cell>
        </row>
        <row r="521">
          <cell r="A521" t="str">
            <v>D-ITOT_KEV_WOD_ELC_CHP</v>
          </cell>
          <cell r="B521" t="str">
            <v>VAR_fout</v>
          </cell>
          <cell r="C521" t="str">
            <v>ITOT_ELC</v>
          </cell>
          <cell r="D521">
            <v>2.8828478330490963E-4</v>
          </cell>
          <cell r="E521">
            <v>1.7384047066031839E-4</v>
          </cell>
          <cell r="F521">
            <v>3.0620304130297418E-4</v>
          </cell>
          <cell r="G521">
            <v>1.7890898585205745E-3</v>
          </cell>
          <cell r="H521">
            <v>1.7804381947465291</v>
          </cell>
          <cell r="I521">
            <v>4.312214019272707</v>
          </cell>
        </row>
        <row r="522">
          <cell r="A522" t="str">
            <v>D-ITOT_KEV_WOD_ELC_CHP</v>
          </cell>
          <cell r="B522" t="str">
            <v>VAR_fout</v>
          </cell>
          <cell r="C522" t="str">
            <v>ELC5</v>
          </cell>
          <cell r="D522">
            <v>0.17216570914422652</v>
          </cell>
          <cell r="E522">
            <v>0.39705037001215199</v>
          </cell>
          <cell r="F522">
            <v>1.1327872717081355</v>
          </cell>
          <cell r="G522">
            <v>1.2585693540128609</v>
          </cell>
          <cell r="H522">
            <v>0.20355689053392123</v>
          </cell>
          <cell r="I522">
            <v>0.70130041936978327</v>
          </cell>
        </row>
        <row r="523">
          <cell r="A523" t="str">
            <v>D-ITOT_KEV_WOD_ELC_CHP</v>
          </cell>
          <cell r="B523" t="str">
            <v>VAR_fin</v>
          </cell>
          <cell r="C523" t="str">
            <v>ITOT_KEV_WOD_ELC_CHP</v>
          </cell>
          <cell r="D523">
            <v>0.17245399392753163</v>
          </cell>
          <cell r="E523">
            <v>0.39722421048281215</v>
          </cell>
          <cell r="F523">
            <v>1.1330918213891377</v>
          </cell>
          <cell r="G523">
            <v>1.2603560793519302</v>
          </cell>
          <cell r="H523">
            <v>1.9839950852804507</v>
          </cell>
          <cell r="I523">
            <v>5.0135144386424875</v>
          </cell>
        </row>
        <row r="524">
          <cell r="A524" t="str">
            <v>RHEM-SHSTG-SOL</v>
          </cell>
          <cell r="B524" t="str">
            <v>VAR_fout</v>
          </cell>
          <cell r="C524" t="str">
            <v>RHEM-SHASOL</v>
          </cell>
          <cell r="D524">
            <v>3.930185752639537E-6</v>
          </cell>
          <cell r="E524">
            <v>2.8606493721179851E-6</v>
          </cell>
          <cell r="F524">
            <v>2.4904518578794661E-3</v>
          </cell>
          <cell r="G524">
            <v>1.4178790509567472E-3</v>
          </cell>
          <cell r="H524">
            <v>1.4578361811128614E-3</v>
          </cell>
          <cell r="I524">
            <v>1.2738918446374612E-3</v>
          </cell>
        </row>
        <row r="525">
          <cell r="A525" t="str">
            <v>RHEM-SHSTG-SOL</v>
          </cell>
          <cell r="B525" t="str">
            <v>VAR_fin</v>
          </cell>
          <cell r="C525" t="str">
            <v>RHEM-SHASOL</v>
          </cell>
          <cell r="D525">
            <v>7.3748785463072987E-7</v>
          </cell>
          <cell r="E525">
            <v>2.1317437963377297E-6</v>
          </cell>
          <cell r="F525">
            <v>2.4894252728709489E-3</v>
          </cell>
          <cell r="G525">
            <v>1.417428549061117E-3</v>
          </cell>
          <cell r="H525">
            <v>1.4579303350257615E-3</v>
          </cell>
          <cell r="I525">
            <v>1.2737698357691866E-3</v>
          </cell>
        </row>
        <row r="526">
          <cell r="A526" t="str">
            <v>RHEM-SHSTG-SOL</v>
          </cell>
          <cell r="B526" t="str">
            <v>VAR_ncap</v>
          </cell>
          <cell r="C526" t="str">
            <v>-</v>
          </cell>
          <cell r="D526">
            <v>1.4280087619760301E-2</v>
          </cell>
          <cell r="E526">
            <v>1.81512099176738E-3</v>
          </cell>
          <cell r="F526">
            <v>1.50809492152297E-7</v>
          </cell>
          <cell r="G526">
            <v>1.54617686981767E-7</v>
          </cell>
          <cell r="H526">
            <v>3.3962518243299902E-4</v>
          </cell>
          <cell r="I526">
            <v>1.4529606518418601E-4</v>
          </cell>
        </row>
        <row r="527">
          <cell r="A527" t="str">
            <v>RHEM-SHSTG-SOL</v>
          </cell>
          <cell r="B527" t="str">
            <v>VAR_cap</v>
          </cell>
          <cell r="C527" t="str">
            <v>-</v>
          </cell>
          <cell r="D527">
            <v>1.4280087619760301E-2</v>
          </cell>
          <cell r="E527">
            <v>1.60952086115277E-2</v>
          </cell>
          <cell r="F527">
            <v>1.6095359421019799E-2</v>
          </cell>
          <cell r="G527">
            <v>1.60955140387068E-2</v>
          </cell>
          <cell r="H527">
            <v>3.8244162385464001E-4</v>
          </cell>
          <cell r="I527">
            <v>4.0982860346563499E-4</v>
          </cell>
        </row>
        <row r="528">
          <cell r="A528" t="str">
            <v>ITOT-SWHCONBR10</v>
          </cell>
          <cell r="B528" t="str">
            <v>VAR_fout</v>
          </cell>
          <cell r="C528" t="str">
            <v>ITOT-ELS</v>
          </cell>
          <cell r="E528">
            <v>2.3063511862830312E-5</v>
          </cell>
          <cell r="F528">
            <v>2.3309699407037646E-5</v>
          </cell>
          <cell r="G528">
            <v>2.2953903048669638E-5</v>
          </cell>
          <cell r="H528">
            <v>2.4667991416469976E-5</v>
          </cell>
          <cell r="I528">
            <v>1.5987939874442943E-5</v>
          </cell>
        </row>
        <row r="529">
          <cell r="A529" t="str">
            <v>ITOT-SWHCONBR10</v>
          </cell>
          <cell r="B529" t="str">
            <v>VAR_fout</v>
          </cell>
          <cell r="C529" t="str">
            <v>ITOT-SWHC</v>
          </cell>
          <cell r="E529">
            <v>1.4202750902129704E-4</v>
          </cell>
          <cell r="F529">
            <v>1.4354355756862131E-4</v>
          </cell>
          <cell r="G529">
            <v>1.4135252652363551E-4</v>
          </cell>
          <cell r="H529">
            <v>1.5196730439847727E-4</v>
          </cell>
          <cell r="I529">
            <v>9.8711075073958047E-5</v>
          </cell>
        </row>
        <row r="530">
          <cell r="A530" t="str">
            <v>ITOT-SWHCONBR10</v>
          </cell>
          <cell r="B530" t="str">
            <v>VAR_fin</v>
          </cell>
          <cell r="C530" t="str">
            <v>CON</v>
          </cell>
          <cell r="E530">
            <v>1.6509102088412746E-4</v>
          </cell>
          <cell r="F530">
            <v>1.6685325697565911E-4</v>
          </cell>
          <cell r="G530">
            <v>1.6430642957230502E-4</v>
          </cell>
          <cell r="H530">
            <v>1.7664491616473785E-4</v>
          </cell>
          <cell r="I530">
            <v>1.1474053349823839E-4</v>
          </cell>
        </row>
        <row r="531">
          <cell r="A531" t="str">
            <v>ITOT-SWHCONBR10</v>
          </cell>
          <cell r="B531" t="str">
            <v>VAR_ncap</v>
          </cell>
          <cell r="C531" t="str">
            <v>-</v>
          </cell>
          <cell r="E531">
            <v>8.3248136005132093E-6</v>
          </cell>
          <cell r="F531">
            <v>1.4309133510008699E-7</v>
          </cell>
          <cell r="G531">
            <v>1.07319576521595E-7</v>
          </cell>
          <cell r="H531">
            <v>2.5718362680119999E-6</v>
          </cell>
          <cell r="I531">
            <v>1.3405810390519799E-6</v>
          </cell>
        </row>
        <row r="532">
          <cell r="A532" t="str">
            <v>ITOT-SWHCONBR10</v>
          </cell>
          <cell r="B532" t="str">
            <v>VAR_cap</v>
          </cell>
          <cell r="C532" t="str">
            <v>-</v>
          </cell>
          <cell r="E532">
            <v>8.3248136005132093E-6</v>
          </cell>
          <cell r="F532">
            <v>8.4679049356132998E-6</v>
          </cell>
          <cell r="G532">
            <v>8.5752245121348896E-6</v>
          </cell>
          <cell r="H532">
            <v>9.3309726480482207E-6</v>
          </cell>
          <cell r="I532">
            <v>6.02440215960715E-6</v>
          </cell>
        </row>
        <row r="533">
          <cell r="A533" t="str">
            <v>SCOM-SHSTG</v>
          </cell>
          <cell r="B533" t="str">
            <v>VAR_fout</v>
          </cell>
          <cell r="C533" t="str">
            <v>AUX_SCOM-SHSTG_OUT</v>
          </cell>
          <cell r="D533">
            <v>3.3053187719988335E-6</v>
          </cell>
          <cell r="E533">
            <v>3.0722961966519238E-4</v>
          </cell>
          <cell r="F533">
            <v>1.6940836165959373E-5</v>
          </cell>
          <cell r="G533">
            <v>1.7284096967576502E-5</v>
          </cell>
          <cell r="H533">
            <v>6.3307002977494223E-5</v>
          </cell>
          <cell r="I533">
            <v>1.1010764097536979E-3</v>
          </cell>
        </row>
        <row r="534">
          <cell r="A534" t="str">
            <v>SCOM-SHSTG</v>
          </cell>
          <cell r="B534" t="str">
            <v>VAR_fout</v>
          </cell>
          <cell r="C534" t="str">
            <v>SCOM-SHD</v>
          </cell>
          <cell r="D534">
            <v>3.3053187719988411E-6</v>
          </cell>
          <cell r="E534">
            <v>3.0748073966083226E-4</v>
          </cell>
          <cell r="F534">
            <v>1.6962471972046163E-5</v>
          </cell>
          <cell r="G534">
            <v>1.7284096967576471E-5</v>
          </cell>
          <cell r="H534">
            <v>6.3307002977494155E-5</v>
          </cell>
          <cell r="I534">
            <v>1.1010764097536979E-3</v>
          </cell>
        </row>
        <row r="535">
          <cell r="A535" t="str">
            <v>SCOM-SHSTG</v>
          </cell>
          <cell r="B535" t="str">
            <v>VAR_fin</v>
          </cell>
          <cell r="C535" t="str">
            <v>AUX_SCOM-SHSTG_IN</v>
          </cell>
          <cell r="D535">
            <v>4.3689063412453726E-6</v>
          </cell>
          <cell r="E535">
            <v>3.7489089845994914E-4</v>
          </cell>
          <cell r="F535">
            <v>2.0778455910375783E-5</v>
          </cell>
          <cell r="G535">
            <v>2.0401627154340403E-5</v>
          </cell>
          <cell r="H535">
            <v>6.8765023433682617E-5</v>
          </cell>
          <cell r="I535">
            <v>1.1124920889549856E-3</v>
          </cell>
        </row>
        <row r="536">
          <cell r="A536" t="str">
            <v>SCOM-SHSTG</v>
          </cell>
          <cell r="B536" t="str">
            <v>VAR_fin</v>
          </cell>
          <cell r="C536" t="str">
            <v>SCOM-SHD</v>
          </cell>
          <cell r="D536">
            <v>4.3689063412453726E-6</v>
          </cell>
          <cell r="E536">
            <v>3.7489089845994914E-4</v>
          </cell>
          <cell r="F536">
            <v>2.0778455910375783E-5</v>
          </cell>
          <cell r="G536">
            <v>2.0401627154340403E-5</v>
          </cell>
          <cell r="H536">
            <v>6.8765023433682617E-5</v>
          </cell>
          <cell r="I536">
            <v>1.1124920889549856E-3</v>
          </cell>
        </row>
        <row r="537">
          <cell r="A537" t="str">
            <v>SCOM-SHSTG</v>
          </cell>
          <cell r="B537" t="str">
            <v>VAR_ncap</v>
          </cell>
          <cell r="C537" t="str">
            <v>-</v>
          </cell>
          <cell r="D537">
            <v>6.4904569128783004E-4</v>
          </cell>
          <cell r="E537">
            <v>6.9373669523939604E-6</v>
          </cell>
          <cell r="F537">
            <v>5.2769120184091402E-6</v>
          </cell>
          <cell r="G537">
            <v>2.9340941885818499E-6</v>
          </cell>
          <cell r="H537">
            <v>4.2968994575430801E-4</v>
          </cell>
          <cell r="I537">
            <v>4.8744267341805801E-4</v>
          </cell>
        </row>
        <row r="538">
          <cell r="A538" t="str">
            <v>SCOM-SHSTG</v>
          </cell>
          <cell r="B538" t="str">
            <v>VAR_cap</v>
          </cell>
          <cell r="C538" t="str">
            <v>-</v>
          </cell>
          <cell r="D538">
            <v>6.4904569128783004E-4</v>
          </cell>
          <cell r="E538">
            <v>6.5489878078475836E-4</v>
          </cell>
          <cell r="F538">
            <v>6.5848820121439469E-4</v>
          </cell>
          <cell r="G538">
            <v>6.5949096483161466E-4</v>
          </cell>
          <cell r="H538">
            <v>7.7532553646181951E-4</v>
          </cell>
          <cell r="I538">
            <v>1.0056950263461586E-3</v>
          </cell>
        </row>
        <row r="539">
          <cell r="A539" t="str">
            <v>D-ITOT_KEV_HFC_ELC_CHP</v>
          </cell>
          <cell r="B539" t="str">
            <v>VAR_fout</v>
          </cell>
          <cell r="C539" t="str">
            <v>ITOT_ELC</v>
          </cell>
          <cell r="G539">
            <v>0.87703007074010619</v>
          </cell>
          <cell r="H539">
            <v>0.43979476999703943</v>
          </cell>
          <cell r="I539">
            <v>0.23571280386920015</v>
          </cell>
        </row>
        <row r="540">
          <cell r="A540" t="str">
            <v>D-ITOT_KEV_HFC_ELC_CHP</v>
          </cell>
          <cell r="B540" t="str">
            <v>VAR_fout</v>
          </cell>
          <cell r="C540" t="str">
            <v>ELC5</v>
          </cell>
          <cell r="G540">
            <v>2.9904102465173867E-2</v>
          </cell>
          <cell r="H540">
            <v>0.14251073501490663</v>
          </cell>
          <cell r="I540">
            <v>9.4405450790668269E-2</v>
          </cell>
        </row>
        <row r="541">
          <cell r="A541" t="str">
            <v>D-ITOT_KEV_HFC_ELC_CHP</v>
          </cell>
          <cell r="B541" t="str">
            <v>VAR_fin</v>
          </cell>
          <cell r="C541" t="str">
            <v>ITOT_KEV_HFC_ELC_CHP</v>
          </cell>
          <cell r="G541">
            <v>0.90692863494163811</v>
          </cell>
          <cell r="H541">
            <v>0.58230338609812793</v>
          </cell>
          <cell r="I541">
            <v>0.330115134482035</v>
          </cell>
        </row>
        <row r="542">
          <cell r="A542" t="str">
            <v>D-RNGA</v>
          </cell>
          <cell r="B542" t="str">
            <v>VAR_fout</v>
          </cell>
          <cell r="C542" t="str">
            <v>CO2</v>
          </cell>
          <cell r="D542">
            <v>2662.9055686547999</v>
          </cell>
          <cell r="E542">
            <v>2631.0923342889</v>
          </cell>
          <cell r="F542">
            <v>2564.8375785821599</v>
          </cell>
          <cell r="G542">
            <v>1947.58455195384</v>
          </cell>
          <cell r="H542">
            <v>1172.9939572978899</v>
          </cell>
          <cell r="I542">
            <v>525.636244981804</v>
          </cell>
        </row>
        <row r="543">
          <cell r="A543" t="str">
            <v>D-RNGA</v>
          </cell>
          <cell r="B543" t="str">
            <v>VAR_fout</v>
          </cell>
          <cell r="C543" t="str">
            <v>RNGA</v>
          </cell>
          <cell r="D543">
            <v>47.374022024620885</v>
          </cell>
          <cell r="E543">
            <v>48.283039557648536</v>
          </cell>
          <cell r="F543">
            <v>46.899506208570372</v>
          </cell>
          <cell r="G543">
            <v>39.843843074756485</v>
          </cell>
          <cell r="H543">
            <v>22.675435192963036</v>
          </cell>
          <cell r="I543">
            <v>14.655031529733787</v>
          </cell>
        </row>
        <row r="544">
          <cell r="A544" t="str">
            <v>D-RNGA</v>
          </cell>
          <cell r="B544" t="str">
            <v>VAR_fin</v>
          </cell>
          <cell r="C544" t="str">
            <v>NGA</v>
          </cell>
          <cell r="D544">
            <v>47.214637742106476</v>
          </cell>
          <cell r="E544">
            <v>46.650573302994736</v>
          </cell>
          <cell r="F544">
            <v>45.475843591882231</v>
          </cell>
          <cell r="G544">
            <v>34.5316409920894</v>
          </cell>
          <cell r="H544">
            <v>20.797765200317112</v>
          </cell>
          <cell r="I544">
            <v>9.319791577691559</v>
          </cell>
        </row>
        <row r="545">
          <cell r="A545" t="str">
            <v>D-RNGA</v>
          </cell>
          <cell r="B545" t="str">
            <v>VAR_fin</v>
          </cell>
          <cell r="C545" t="str">
            <v>BNGA</v>
          </cell>
          <cell r="D545">
            <v>0.31072626123956237</v>
          </cell>
          <cell r="E545">
            <v>1.786712198595876</v>
          </cell>
          <cell r="F545">
            <v>1.5580993546487676</v>
          </cell>
          <cell r="G545">
            <v>4.2648635907399814</v>
          </cell>
          <cell r="H545">
            <v>1.8740896685541271</v>
          </cell>
          <cell r="I545">
            <v>4.9843642003770015</v>
          </cell>
        </row>
        <row r="546">
          <cell r="A546" t="str">
            <v>D-RNGA</v>
          </cell>
          <cell r="B546" t="str">
            <v>VAR_fin</v>
          </cell>
          <cell r="C546" t="str">
            <v>H2</v>
          </cell>
          <cell r="F546">
            <v>1.5389343243763367E-2</v>
          </cell>
          <cell r="G546">
            <v>1.1746244134774368</v>
          </cell>
          <cell r="H546">
            <v>7.6019713527066421E-2</v>
          </cell>
          <cell r="I546">
            <v>0.39769300245378325</v>
          </cell>
        </row>
        <row r="547">
          <cell r="A547" t="str">
            <v>D-RNGA</v>
          </cell>
          <cell r="B547" t="str">
            <v>VAR_ncap</v>
          </cell>
          <cell r="C547" t="str">
            <v>-</v>
          </cell>
          <cell r="D547">
            <v>3.0328559632058098E-7</v>
          </cell>
          <cell r="E547">
            <v>1.08361357588754E-7</v>
          </cell>
          <cell r="F547">
            <v>1.9164760866825E-7</v>
          </cell>
          <cell r="G547">
            <v>9.5630860497183498E-8</v>
          </cell>
          <cell r="H547">
            <v>2.1060223682405099E-7</v>
          </cell>
          <cell r="I547">
            <v>7.2847807862809397E-7</v>
          </cell>
        </row>
        <row r="548">
          <cell r="A548" t="str">
            <v>D-RNGA</v>
          </cell>
          <cell r="B548" t="str">
            <v>VAR_cap</v>
          </cell>
          <cell r="C548" t="str">
            <v>-</v>
          </cell>
          <cell r="D548">
            <v>3.0972403106815163</v>
          </cell>
          <cell r="E548">
            <v>3.0972404190428739</v>
          </cell>
          <cell r="F548">
            <v>3.0972406106904828</v>
          </cell>
          <cell r="G548">
            <v>3.097240706321343</v>
          </cell>
          <cell r="H548">
            <v>3.0972410665599255</v>
          </cell>
          <cell r="I548">
            <v>1.553284035678304</v>
          </cell>
        </row>
        <row r="549">
          <cell r="A549" t="str">
            <v>RHNS-SHLTHCHPNGA</v>
          </cell>
          <cell r="B549" t="str">
            <v>VAR_fout</v>
          </cell>
          <cell r="C549" t="str">
            <v>RHNS-SHLTHC-NGA</v>
          </cell>
          <cell r="E549">
            <v>8.6549748363910935E-4</v>
          </cell>
        </row>
        <row r="550">
          <cell r="A550" t="str">
            <v>RHNS-SHLTHCHPNGA</v>
          </cell>
          <cell r="B550" t="str">
            <v>VAR_fin</v>
          </cell>
          <cell r="C550" t="str">
            <v>RHNSLTHCHPC</v>
          </cell>
          <cell r="E550">
            <v>8.6549748363910935E-4</v>
          </cell>
        </row>
        <row r="551">
          <cell r="A551" t="str">
            <v>RHNS-SHLTHCHPNGA</v>
          </cell>
          <cell r="B551" t="str">
            <v>VAR_fin</v>
          </cell>
          <cell r="C551" t="str">
            <v>RHNS_LTH_CHPNGA_ON</v>
          </cell>
          <cell r="E551">
            <v>8.742398824637469E-4</v>
          </cell>
        </row>
        <row r="552">
          <cell r="A552" t="str">
            <v>RHNS-SHLTHCHPNGA</v>
          </cell>
          <cell r="B552" t="str">
            <v>VAR_ncap</v>
          </cell>
          <cell r="C552" t="str">
            <v>-</v>
          </cell>
          <cell r="E552">
            <v>1.19122239885512E-4</v>
          </cell>
          <cell r="F552">
            <v>1.2116975445755699E-4</v>
          </cell>
          <cell r="G552">
            <v>1.02973281103846E-4</v>
          </cell>
          <cell r="H552">
            <v>1.42008650330665E-4</v>
          </cell>
          <cell r="I552">
            <v>5.4791036536080501E-5</v>
          </cell>
        </row>
        <row r="553">
          <cell r="A553" t="str">
            <v>RHNS-SHLTHCHPNGA</v>
          </cell>
          <cell r="B553" t="str">
            <v>VAR_cap</v>
          </cell>
          <cell r="C553" t="str">
            <v>-</v>
          </cell>
          <cell r="E553">
            <v>1.19122239885512E-4</v>
          </cell>
          <cell r="F553">
            <v>1.6876692874420881E-4</v>
          </cell>
          <cell r="G553">
            <v>1.8073445012646802E-4</v>
          </cell>
          <cell r="H553">
            <v>2.24144670191773E-4</v>
          </cell>
          <cell r="I553">
            <v>9.7771681843209006E-5</v>
          </cell>
        </row>
        <row r="554">
          <cell r="A554" t="str">
            <v>D-SCOM_KEV_BIO_ELC_CHP</v>
          </cell>
          <cell r="B554" t="str">
            <v>VAR_fout</v>
          </cell>
          <cell r="C554" t="str">
            <v>ELC5</v>
          </cell>
          <cell r="D554">
            <v>0.9591200875317708</v>
          </cell>
          <cell r="E554">
            <v>1.1058752565913266</v>
          </cell>
          <cell r="F554">
            <v>1.1058524454532028</v>
          </cell>
          <cell r="G554">
            <v>1.1056661476058136</v>
          </cell>
          <cell r="H554">
            <v>0.55543908715241608</v>
          </cell>
          <cell r="I554">
            <v>0.55486480099475166</v>
          </cell>
        </row>
        <row r="555">
          <cell r="A555" t="str">
            <v>D-SCOM_KEV_BIO_ELC_CHP</v>
          </cell>
          <cell r="B555" t="str">
            <v>VAR_fout</v>
          </cell>
          <cell r="C555" t="str">
            <v>SCOM_ELC</v>
          </cell>
          <cell r="D555">
            <v>2.4543675512891494E-4</v>
          </cell>
          <cell r="E555">
            <v>9.5325014911150588E-5</v>
          </cell>
          <cell r="F555">
            <v>1.1837123084909855E-4</v>
          </cell>
          <cell r="G555">
            <v>3.058111949466901E-4</v>
          </cell>
          <cell r="H555">
            <v>0.55054019234801999</v>
          </cell>
          <cell r="I555">
            <v>0.55111587341075663</v>
          </cell>
        </row>
        <row r="556">
          <cell r="A556" t="str">
            <v>D-SCOM_KEV_BIO_ELC_CHP</v>
          </cell>
          <cell r="B556" t="str">
            <v>VAR_fin</v>
          </cell>
          <cell r="C556" t="str">
            <v>SCOM_KEV_BIO_ELC_CHP</v>
          </cell>
          <cell r="D556">
            <v>0.95936552428690025</v>
          </cell>
          <cell r="E556">
            <v>1.1059705816062375</v>
          </cell>
          <cell r="F556">
            <v>1.1059703770352236</v>
          </cell>
          <cell r="G556">
            <v>1.1059705927620216</v>
          </cell>
          <cell r="H556">
            <v>1.1059716849444003</v>
          </cell>
          <cell r="I556">
            <v>1.1059717711517187</v>
          </cell>
        </row>
        <row r="557">
          <cell r="A557" t="str">
            <v>RHES-SHLTHCHPWOD</v>
          </cell>
          <cell r="B557" t="str">
            <v>VAR_ncap</v>
          </cell>
          <cell r="C557" t="str">
            <v>-</v>
          </cell>
          <cell r="G557">
            <v>7.6859048100167204E-5</v>
          </cell>
          <cell r="H557">
            <v>8.5425000880756706E-5</v>
          </cell>
          <cell r="I557">
            <v>2.7260659361100201E-5</v>
          </cell>
        </row>
        <row r="558">
          <cell r="A558" t="str">
            <v>RHES-SHLTHCHPWOD</v>
          </cell>
          <cell r="B558" t="str">
            <v>VAR_cap</v>
          </cell>
          <cell r="C558" t="str">
            <v>-</v>
          </cell>
          <cell r="G558">
            <v>7.6859048100167204E-5</v>
          </cell>
          <cell r="H558">
            <v>1.36576906818539E-4</v>
          </cell>
          <cell r="I558">
            <v>5.1113268870357914E-5</v>
          </cell>
        </row>
        <row r="559">
          <cell r="A559" t="str">
            <v>RHES-SHSTG-NGAHP</v>
          </cell>
          <cell r="B559" t="str">
            <v>VAR_fout</v>
          </cell>
          <cell r="C559" t="str">
            <v>RHES-SHANGAH</v>
          </cell>
          <cell r="F559">
            <v>4.4038787758078077E-3</v>
          </cell>
          <cell r="G559">
            <v>0.14227299285874154</v>
          </cell>
          <cell r="H559">
            <v>8.49294021108149E-3</v>
          </cell>
          <cell r="I559">
            <v>1.0823837855772777E-2</v>
          </cell>
        </row>
        <row r="560">
          <cell r="A560" t="str">
            <v>RHES-SHSTG-NGAHP</v>
          </cell>
          <cell r="B560" t="str">
            <v>VAR_fin</v>
          </cell>
          <cell r="C560" t="str">
            <v>RHES-SHANGAH</v>
          </cell>
          <cell r="F560">
            <v>4.4121907346365554E-3</v>
          </cell>
          <cell r="G560">
            <v>0.14228302397956563</v>
          </cell>
          <cell r="H560">
            <v>8.4962705158081984E-3</v>
          </cell>
          <cell r="I560">
            <v>1.0828386681196758E-2</v>
          </cell>
        </row>
        <row r="561">
          <cell r="A561" t="str">
            <v>RHES-SHSTG-NGAHP</v>
          </cell>
          <cell r="B561" t="str">
            <v>VAR_ncap</v>
          </cell>
          <cell r="C561" t="str">
            <v>-</v>
          </cell>
          <cell r="D561">
            <v>1.04136285119396E-5</v>
          </cell>
          <cell r="E561">
            <v>5.1136302680173902E-6</v>
          </cell>
          <cell r="F561">
            <v>3.10118922708712E-2</v>
          </cell>
          <cell r="G561">
            <v>4.9002045362766103E-2</v>
          </cell>
          <cell r="H561">
            <v>5.46783035677499E-2</v>
          </cell>
          <cell r="I561">
            <v>5.3734073969189E-2</v>
          </cell>
        </row>
        <row r="562">
          <cell r="A562" t="str">
            <v>RHES-SHSTG-NGAHP</v>
          </cell>
          <cell r="B562" t="str">
            <v>VAR_cap</v>
          </cell>
          <cell r="C562" t="str">
            <v>-</v>
          </cell>
          <cell r="D562">
            <v>1.04136285119396E-5</v>
          </cell>
          <cell r="E562">
            <v>3.1498793424519826E-7</v>
          </cell>
          <cell r="F562">
            <v>3.1009356384992956E-2</v>
          </cell>
          <cell r="G562">
            <v>8.0004723618047613E-2</v>
          </cell>
          <cell r="H562">
            <v>0.1084531119986744</v>
          </cell>
          <cell r="I562">
            <v>9.967012919609386E-2</v>
          </cell>
        </row>
        <row r="563">
          <cell r="A563" t="str">
            <v>D-RHNS_SOLELC</v>
          </cell>
          <cell r="B563" t="str">
            <v>VAR_fout</v>
          </cell>
          <cell r="C563" t="str">
            <v>RHNS_ELC</v>
          </cell>
          <cell r="E563">
            <v>1.7274318766705185E-5</v>
          </cell>
          <cell r="F563">
            <v>3.7119229198543865E-2</v>
          </cell>
          <cell r="G563">
            <v>4.4154109765916189E-2</v>
          </cell>
          <cell r="H563">
            <v>5.1106032384648961E-2</v>
          </cell>
          <cell r="I563">
            <v>5.854614861998246E-2</v>
          </cell>
        </row>
        <row r="564">
          <cell r="A564" t="str">
            <v>D-RHNS_SOLELC</v>
          </cell>
          <cell r="B564" t="str">
            <v>VAR_fout</v>
          </cell>
          <cell r="C564" t="str">
            <v>ELC5</v>
          </cell>
          <cell r="E564">
            <v>1.7251729421504813E-5</v>
          </cell>
          <cell r="F564">
            <v>3.8552669593695334E-2</v>
          </cell>
          <cell r="G564">
            <v>4.4571139632140627E-2</v>
          </cell>
          <cell r="H564">
            <v>5.0402836381776027E-2</v>
          </cell>
          <cell r="I564">
            <v>5.4265242806493662E-2</v>
          </cell>
        </row>
        <row r="565">
          <cell r="A565" t="str">
            <v>D-RHNS_SOLELC</v>
          </cell>
          <cell r="B565" t="str">
            <v>VAR_fin</v>
          </cell>
          <cell r="C565" t="str">
            <v>RHNS_SOL_ELC</v>
          </cell>
          <cell r="E565">
            <v>3.3668867114946418E-5</v>
          </cell>
          <cell r="F565">
            <v>7.5669377568480384E-2</v>
          </cell>
          <cell r="G565">
            <v>8.8722266903414129E-2</v>
          </cell>
          <cell r="H565">
            <v>0.10150442300386084</v>
          </cell>
          <cell r="I565">
            <v>0.11280737397270864</v>
          </cell>
        </row>
        <row r="566">
          <cell r="A566" t="str">
            <v>D-IHFO</v>
          </cell>
          <cell r="B566" t="str">
            <v>VAR_fout</v>
          </cell>
          <cell r="C566" t="str">
            <v>CO2</v>
          </cell>
          <cell r="D566">
            <v>213.78049979206901</v>
          </cell>
          <cell r="E566">
            <v>0.10118425737699201</v>
          </cell>
          <cell r="F566">
            <v>0.118506358641328</v>
          </cell>
          <cell r="G566">
            <v>1.0159403058812799</v>
          </cell>
          <cell r="H566">
            <v>0.124938563742895</v>
          </cell>
        </row>
        <row r="567">
          <cell r="A567" t="str">
            <v>D-IHFO</v>
          </cell>
          <cell r="B567" t="str">
            <v>VAR_fout</v>
          </cell>
          <cell r="C567" t="str">
            <v>IHFO</v>
          </cell>
          <cell r="D567">
            <v>2.730001510476991</v>
          </cell>
          <cell r="E567">
            <v>1.2921345760925566E-3</v>
          </cell>
          <cell r="F567">
            <v>1.5133397966915719E-3</v>
          </cell>
          <cell r="G567">
            <v>1.2973674270141426E-2</v>
          </cell>
          <cell r="H567">
            <v>1.5954797938384419E-3</v>
          </cell>
        </row>
        <row r="568">
          <cell r="A568" t="str">
            <v>D-IHFO</v>
          </cell>
          <cell r="B568" t="str">
            <v>VAR_fin</v>
          </cell>
          <cell r="C568" t="str">
            <v>HFO</v>
          </cell>
          <cell r="D568">
            <v>2.7763701271697321</v>
          </cell>
          <cell r="E568">
            <v>1.3140812646362577E-3</v>
          </cell>
          <cell r="F568">
            <v>1.5390436187185423E-3</v>
          </cell>
          <cell r="G568">
            <v>1.3194029946510132E-2</v>
          </cell>
          <cell r="H568">
            <v>1.6225787499077309E-3</v>
          </cell>
        </row>
        <row r="569">
          <cell r="A569" t="str">
            <v>RHEM-SHCONBR</v>
          </cell>
          <cell r="B569" t="str">
            <v>VAR_fout</v>
          </cell>
          <cell r="C569" t="str">
            <v>RHEM-SHCON</v>
          </cell>
          <cell r="F569">
            <v>2.0130218925570756E-4</v>
          </cell>
          <cell r="G569">
            <v>2.2491829483408049E-4</v>
          </cell>
          <cell r="H569">
            <v>3.4025278253712357E-4</v>
          </cell>
          <cell r="I569">
            <v>3.8616345893345544E-4</v>
          </cell>
        </row>
        <row r="570">
          <cell r="A570" t="str">
            <v>RHEM-SHCONBR</v>
          </cell>
          <cell r="B570" t="str">
            <v>VAR_fin</v>
          </cell>
          <cell r="C570" t="str">
            <v>CON</v>
          </cell>
          <cell r="F570">
            <v>2.0130218925570756E-4</v>
          </cell>
          <cell r="G570">
            <v>2.2491829483408049E-4</v>
          </cell>
          <cell r="H570">
            <v>3.4025278253712357E-4</v>
          </cell>
          <cell r="I570">
            <v>3.8616345893345544E-4</v>
          </cell>
        </row>
        <row r="571">
          <cell r="A571" t="str">
            <v>RHEM-SHCONBR</v>
          </cell>
          <cell r="B571" t="str">
            <v>VAR_ncap</v>
          </cell>
          <cell r="C571" t="str">
            <v>-</v>
          </cell>
          <cell r="D571">
            <v>2.3048161195922698E-8</v>
          </cell>
          <cell r="E571">
            <v>4.2332755906267097E-8</v>
          </cell>
          <cell r="F571">
            <v>1.7419733967927699E-5</v>
          </cell>
          <cell r="G571">
            <v>2.93893078322436E-7</v>
          </cell>
          <cell r="H571">
            <v>4.19903659192696E-7</v>
          </cell>
          <cell r="I571">
            <v>1.7143190139615599E-6</v>
          </cell>
        </row>
        <row r="572">
          <cell r="A572" t="str">
            <v>RHEM-SHCONBR</v>
          </cell>
          <cell r="B572" t="str">
            <v>VAR_cap</v>
          </cell>
          <cell r="C572" t="str">
            <v>-</v>
          </cell>
          <cell r="D572">
            <v>2.3048161195922698E-8</v>
          </cell>
          <cell r="E572">
            <v>-8.8853996668330193E-8</v>
          </cell>
          <cell r="F572">
            <v>1.7434986428137455E-5</v>
          </cell>
          <cell r="G572">
            <v>1.7724027355545016E-5</v>
          </cell>
          <cell r="H572">
            <v>2.7173818561605616E-5</v>
          </cell>
          <cell r="I572">
            <v>2.9015557239421099E-5</v>
          </cell>
        </row>
        <row r="573">
          <cell r="A573" t="str">
            <v>RHEM-SHSOLBR</v>
          </cell>
          <cell r="B573" t="str">
            <v>VAR_fout</v>
          </cell>
          <cell r="C573" t="str">
            <v>RHEM-SHASOL</v>
          </cell>
          <cell r="D573">
            <v>0.40801238906644388</v>
          </cell>
          <cell r="E573">
            <v>0.47087587802155267</v>
          </cell>
          <cell r="F573">
            <v>9.0013729881942145E-3</v>
          </cell>
          <cell r="G573">
            <v>1.0931547239616705E-2</v>
          </cell>
          <cell r="H573">
            <v>1.0490078260490681E-2</v>
          </cell>
          <cell r="I573">
            <v>8.635735057329787E-3</v>
          </cell>
        </row>
        <row r="574">
          <cell r="A574" t="str">
            <v>RHEM-SHSOLBR</v>
          </cell>
          <cell r="B574" t="str">
            <v>VAR_fin</v>
          </cell>
          <cell r="C574" t="str">
            <v>SOL</v>
          </cell>
          <cell r="D574">
            <v>0.40801238906644388</v>
          </cell>
          <cell r="E574">
            <v>0.47087587802155267</v>
          </cell>
          <cell r="F574">
            <v>9.0013729881942145E-3</v>
          </cell>
          <cell r="G574">
            <v>1.0931547239616705E-2</v>
          </cell>
          <cell r="H574">
            <v>1.0490078260490681E-2</v>
          </cell>
          <cell r="I574">
            <v>8.635735057329787E-3</v>
          </cell>
        </row>
        <row r="575">
          <cell r="A575" t="str">
            <v>RHEM-SHSOLBR</v>
          </cell>
          <cell r="B575" t="str">
            <v>VAR_ncap</v>
          </cell>
          <cell r="C575" t="str">
            <v>-</v>
          </cell>
          <cell r="D575">
            <v>8.1757197098771396E-5</v>
          </cell>
          <cell r="E575">
            <v>9.0664452617173694E-3</v>
          </cell>
          <cell r="F575">
            <v>4.6424465766082301E-7</v>
          </cell>
          <cell r="G575">
            <v>4.00941643407952E-7</v>
          </cell>
          <cell r="H575">
            <v>1.62225804288721E-3</v>
          </cell>
          <cell r="I575">
            <v>5.6365358854191703E-4</v>
          </cell>
        </row>
        <row r="576">
          <cell r="A576" t="str">
            <v>RHEM-SHSOLBR</v>
          </cell>
          <cell r="B576" t="str">
            <v>VAR_cap</v>
          </cell>
          <cell r="C576" t="str">
            <v>-</v>
          </cell>
          <cell r="D576">
            <v>5.9336678614137071E-2</v>
          </cell>
          <cell r="E576">
            <v>6.8403047908784001E-2</v>
          </cell>
          <cell r="F576">
            <v>6.8402785327056195E-2</v>
          </cell>
          <cell r="G576">
            <v>6.8403152980711507E-2</v>
          </cell>
          <cell r="H576">
            <v>1.6242693189153906E-3</v>
          </cell>
          <cell r="I576">
            <v>1.741570716147986E-3</v>
          </cell>
        </row>
        <row r="577">
          <cell r="A577" t="str">
            <v>SCOM-SHH2BR</v>
          </cell>
          <cell r="B577" t="str">
            <v>VAR_ncap</v>
          </cell>
          <cell r="C577" t="str">
            <v>-</v>
          </cell>
          <cell r="G577">
            <v>1.2354164906543001E-6</v>
          </cell>
          <cell r="H577">
            <v>0.65415891743521803</v>
          </cell>
          <cell r="I577">
            <v>0.41237255401565498</v>
          </cell>
        </row>
        <row r="578">
          <cell r="A578" t="str">
            <v>SCOM-SHH2BR</v>
          </cell>
          <cell r="B578" t="str">
            <v>VAR_cap</v>
          </cell>
          <cell r="C578" t="str">
            <v>-</v>
          </cell>
          <cell r="G578">
            <v>1.2354164906543001E-6</v>
          </cell>
          <cell r="H578">
            <v>0.94314132681754559</v>
          </cell>
          <cell r="I578">
            <v>1.0093545818867673</v>
          </cell>
        </row>
        <row r="579">
          <cell r="A579" t="str">
            <v>ITOT-SWHCONBR1</v>
          </cell>
          <cell r="B579" t="str">
            <v>VAR_fout</v>
          </cell>
          <cell r="C579" t="str">
            <v>ITOT-ELS</v>
          </cell>
          <cell r="E579">
            <v>1.3238969955568416E-2</v>
          </cell>
          <cell r="F579">
            <v>1.323909470470991E-2</v>
          </cell>
          <cell r="G579">
            <v>1.3239075219643745E-2</v>
          </cell>
          <cell r="H579">
            <v>1.5513576413272874E-2</v>
          </cell>
          <cell r="I579">
            <v>2.1150960882519092E-2</v>
          </cell>
        </row>
        <row r="580">
          <cell r="A580" t="str">
            <v>ITOT-SWHCONBR1</v>
          </cell>
          <cell r="B580" t="str">
            <v>VAR_fout</v>
          </cell>
          <cell r="C580" t="str">
            <v>ITOT-SWHC</v>
          </cell>
          <cell r="E580">
            <v>3.4737685844224617</v>
          </cell>
          <cell r="F580">
            <v>3.4738013173050106</v>
          </cell>
          <cell r="G580">
            <v>3.4737962046254833</v>
          </cell>
          <cell r="H580">
            <v>4.0706017580920495</v>
          </cell>
          <cell r="I580">
            <v>5.5497930496578949</v>
          </cell>
        </row>
        <row r="581">
          <cell r="A581" t="str">
            <v>ITOT-SWHCONBR1</v>
          </cell>
          <cell r="B581" t="str">
            <v>VAR_fin</v>
          </cell>
          <cell r="C581" t="str">
            <v>CON</v>
          </cell>
          <cell r="E581">
            <v>3.4870075543780326</v>
          </cell>
          <cell r="F581">
            <v>3.48704041200972</v>
          </cell>
          <cell r="G581">
            <v>3.4870352798451285</v>
          </cell>
          <cell r="H581">
            <v>4.0861153345053234</v>
          </cell>
          <cell r="I581">
            <v>5.5709440105404138</v>
          </cell>
        </row>
        <row r="582">
          <cell r="A582" t="str">
            <v>ITOT-SWHCONBR1</v>
          </cell>
          <cell r="B582" t="str">
            <v>VAR_ncap</v>
          </cell>
          <cell r="C582" t="str">
            <v>-</v>
          </cell>
          <cell r="E582">
            <v>0.18963998787202599</v>
          </cell>
          <cell r="F582">
            <v>1.0039972156965899E-6</v>
          </cell>
          <cell r="G582">
            <v>3.2131005379977501E-7</v>
          </cell>
          <cell r="H582">
            <v>7.7773363771825005E-2</v>
          </cell>
          <cell r="I582">
            <v>0.18542920716477401</v>
          </cell>
        </row>
        <row r="583">
          <cell r="A583" t="str">
            <v>ITOT-SWHCONBR1</v>
          </cell>
          <cell r="B583" t="str">
            <v>VAR_cap</v>
          </cell>
          <cell r="C583" t="str">
            <v>-</v>
          </cell>
          <cell r="E583">
            <v>0.18963998787202599</v>
          </cell>
          <cell r="F583">
            <v>0.18964099186924099</v>
          </cell>
          <cell r="G583">
            <v>0.189641313179295</v>
          </cell>
          <cell r="H583">
            <v>0.22222237899330799</v>
          </cell>
          <cell r="I583">
            <v>0.30297293730164099</v>
          </cell>
        </row>
        <row r="584">
          <cell r="A584" t="str">
            <v>SCOM-SHLTHCHPWOD</v>
          </cell>
          <cell r="B584" t="str">
            <v>VAR_ncap</v>
          </cell>
          <cell r="C584" t="str">
            <v>-</v>
          </cell>
          <cell r="G584">
            <v>1.08884548200301E-4</v>
          </cell>
          <cell r="H584">
            <v>1.2025667197768E-4</v>
          </cell>
          <cell r="I584">
            <v>3.5375941865843699E-5</v>
          </cell>
        </row>
        <row r="585">
          <cell r="A585" t="str">
            <v>SCOM-SHLTHCHPWOD</v>
          </cell>
          <cell r="B585" t="str">
            <v>VAR_cap</v>
          </cell>
          <cell r="C585" t="str">
            <v>-</v>
          </cell>
          <cell r="G585">
            <v>1.08884548200301E-4</v>
          </cell>
          <cell r="H585">
            <v>1.72602660623596E-4</v>
          </cell>
          <cell r="I585">
            <v>6.4498701115439988E-5</v>
          </cell>
        </row>
        <row r="586">
          <cell r="A586" t="str">
            <v>SCOM-SHSTG-NGAHP</v>
          </cell>
          <cell r="B586" t="str">
            <v>VAR_fout</v>
          </cell>
          <cell r="C586" t="str">
            <v>SCOM-SHANGAH</v>
          </cell>
          <cell r="D586">
            <v>3.2966890076977708E-5</v>
          </cell>
          <cell r="E586">
            <v>3.3651390031517669E-5</v>
          </cell>
          <cell r="F586">
            <v>1.1029298137477726E-5</v>
          </cell>
          <cell r="G586">
            <v>9.761481755892625E-6</v>
          </cell>
          <cell r="H586">
            <v>2.2635891006035842E-5</v>
          </cell>
          <cell r="I586">
            <v>7.9029256685770866E-6</v>
          </cell>
        </row>
        <row r="587">
          <cell r="A587" t="str">
            <v>SCOM-SHSTG-NGAHP</v>
          </cell>
          <cell r="B587" t="str">
            <v>VAR_fin</v>
          </cell>
          <cell r="C587" t="str">
            <v>SCOM-SHANGAH</v>
          </cell>
          <cell r="D587">
            <v>3.2966890076977708E-5</v>
          </cell>
          <cell r="E587">
            <v>3.3651390031517669E-5</v>
          </cell>
          <cell r="F587">
            <v>1.422887071971737E-5</v>
          </cell>
          <cell r="G587">
            <v>1.3093159067550555E-5</v>
          </cell>
          <cell r="H587">
            <v>2.746590938503809E-5</v>
          </cell>
          <cell r="I587">
            <v>8.6464208622991936E-6</v>
          </cell>
        </row>
        <row r="588">
          <cell r="A588" t="str">
            <v>SCOM-SHSTG-NGAHP</v>
          </cell>
          <cell r="B588" t="str">
            <v>VAR_ncap</v>
          </cell>
          <cell r="C588" t="str">
            <v>-</v>
          </cell>
          <cell r="D588">
            <v>1.2359479478694401E-3</v>
          </cell>
          <cell r="E588">
            <v>9.3403033227834099E-6</v>
          </cell>
          <cell r="F588">
            <v>3.7886251011927503E-2</v>
          </cell>
          <cell r="G588">
            <v>7.0587649089593404E-2</v>
          </cell>
          <cell r="H588">
            <v>9.5750867024015196E-2</v>
          </cell>
          <cell r="I588">
            <v>0.107126343235281</v>
          </cell>
        </row>
        <row r="589">
          <cell r="A589" t="str">
            <v>SCOM-SHSTG-NGAHP</v>
          </cell>
          <cell r="B589" t="str">
            <v>VAR_cap</v>
          </cell>
          <cell r="C589" t="str">
            <v>-</v>
          </cell>
          <cell r="D589">
            <v>1.2359479478694401E-3</v>
          </cell>
          <cell r="E589">
            <v>1.3814796935760019E-5</v>
          </cell>
          <cell r="F589">
            <v>3.7894675505711031E-2</v>
          </cell>
          <cell r="G589">
            <v>0.10846762287757954</v>
          </cell>
          <cell r="H589">
            <v>0.18497661676106536</v>
          </cell>
          <cell r="I589">
            <v>0.19110569966000851</v>
          </cell>
        </row>
        <row r="590">
          <cell r="A590" t="str">
            <v>ITOT-SWHCONBR2</v>
          </cell>
          <cell r="B590" t="str">
            <v>VAR_fout</v>
          </cell>
          <cell r="C590" t="str">
            <v>ITOT-ELS</v>
          </cell>
          <cell r="E590">
            <v>0.48734952082697897</v>
          </cell>
          <cell r="F590">
            <v>0.48733354740708301</v>
          </cell>
          <cell r="G590">
            <v>0.48733429513298004</v>
          </cell>
          <cell r="H590">
            <v>0.48726055781826194</v>
          </cell>
          <cell r="I590">
            <v>0.48735156149795894</v>
          </cell>
        </row>
        <row r="591">
          <cell r="A591" t="str">
            <v>ITOT-SWHCONBR2</v>
          </cell>
          <cell r="B591" t="str">
            <v>VAR_fout</v>
          </cell>
          <cell r="C591" t="str">
            <v>ITOT-SWHC</v>
          </cell>
          <cell r="E591">
            <v>0.75334909445657028</v>
          </cell>
          <cell r="F591">
            <v>0.75332440260626599</v>
          </cell>
          <cell r="G591">
            <v>0.75332555844740934</v>
          </cell>
          <cell r="H591">
            <v>0.75321157467006661</v>
          </cell>
          <cell r="I591">
            <v>0.75335224894338004</v>
          </cell>
        </row>
        <row r="592">
          <cell r="A592" t="str">
            <v>ITOT-SWHCONBR2</v>
          </cell>
          <cell r="B592" t="str">
            <v>VAR_fin</v>
          </cell>
          <cell r="C592" t="str">
            <v>CON</v>
          </cell>
          <cell r="E592">
            <v>1.2406986152835491</v>
          </cell>
          <cell r="F592">
            <v>1.2406579500133492</v>
          </cell>
          <cell r="G592">
            <v>1.2406598535803897</v>
          </cell>
          <cell r="H592">
            <v>1.2404721324883279</v>
          </cell>
          <cell r="I592">
            <v>1.2407038104413395</v>
          </cell>
        </row>
        <row r="593">
          <cell r="A593" t="str">
            <v>ITOT-SWHCONBR2</v>
          </cell>
          <cell r="B593" t="str">
            <v>VAR_ncap</v>
          </cell>
          <cell r="C593" t="str">
            <v>-</v>
          </cell>
          <cell r="E593">
            <v>6.7475834948968805E-2</v>
          </cell>
          <cell r="F593">
            <v>1.13062447004175E-7</v>
          </cell>
          <cell r="G593">
            <v>1.38770298218447E-7</v>
          </cell>
          <cell r="H593">
            <v>6.7464551690667798E-2</v>
          </cell>
          <cell r="I593">
            <v>1.8519420611452501E-2</v>
          </cell>
        </row>
        <row r="594">
          <cell r="A594" t="str">
            <v>ITOT-SWHCONBR2</v>
          </cell>
          <cell r="B594" t="str">
            <v>VAR_cap</v>
          </cell>
          <cell r="C594" t="str">
            <v>-</v>
          </cell>
          <cell r="E594">
            <v>6.7475834948968805E-2</v>
          </cell>
          <cell r="F594">
            <v>6.7475948011415807E-2</v>
          </cell>
          <cell r="G594">
            <v>6.7476086781714101E-2</v>
          </cell>
          <cell r="H594">
            <v>6.74656975678527E-2</v>
          </cell>
          <cell r="I594">
            <v>6.7481143585037803E-2</v>
          </cell>
        </row>
        <row r="595">
          <cell r="A595" t="str">
            <v>RHES-SHCONBR1</v>
          </cell>
          <cell r="B595" t="str">
            <v>VAR_fout</v>
          </cell>
          <cell r="C595" t="str">
            <v>RHES-SHCON</v>
          </cell>
          <cell r="D595">
            <v>1.3192753137807434E-2</v>
          </cell>
          <cell r="E595">
            <v>1.1276268904951394</v>
          </cell>
          <cell r="F595">
            <v>0.68927895089388236</v>
          </cell>
          <cell r="G595">
            <v>1.9731765560585528</v>
          </cell>
          <cell r="H595">
            <v>4.0733911951312338</v>
          </cell>
          <cell r="I595">
            <v>6.4142202365351668</v>
          </cell>
        </row>
        <row r="596">
          <cell r="A596" t="str">
            <v>RHES-SHCONBR1</v>
          </cell>
          <cell r="B596" t="str">
            <v>VAR_fin</v>
          </cell>
          <cell r="C596" t="str">
            <v>CON</v>
          </cell>
          <cell r="D596">
            <v>1.3192753137807434E-2</v>
          </cell>
          <cell r="E596">
            <v>1.1276268904951394</v>
          </cell>
          <cell r="F596">
            <v>0.68927895089388236</v>
          </cell>
          <cell r="G596">
            <v>1.9731765560585528</v>
          </cell>
          <cell r="H596">
            <v>4.0733911951312338</v>
          </cell>
          <cell r="I596">
            <v>6.4142202365351668</v>
          </cell>
        </row>
        <row r="597">
          <cell r="A597" t="str">
            <v>RHES-SHCONBR1</v>
          </cell>
          <cell r="B597" t="str">
            <v>VAR_ncap</v>
          </cell>
          <cell r="C597" t="str">
            <v>-</v>
          </cell>
          <cell r="D597">
            <v>4.5549560363830302E-2</v>
          </cell>
          <cell r="E597">
            <v>4.5549558128407497E-2</v>
          </cell>
          <cell r="F597">
            <v>4.6738314913385999E-7</v>
          </cell>
          <cell r="G597">
            <v>6.8322298838653595E-2</v>
          </cell>
          <cell r="H597">
            <v>4.2205475564074099E-2</v>
          </cell>
          <cell r="I597">
            <v>0.231034781328191</v>
          </cell>
        </row>
        <row r="598">
          <cell r="A598" t="str">
            <v>RHES-SHCONBR1</v>
          </cell>
          <cell r="B598" t="str">
            <v>VAR_cap</v>
          </cell>
          <cell r="C598" t="str">
            <v>-</v>
          </cell>
          <cell r="D598">
            <v>4.5549560363830302E-2</v>
          </cell>
          <cell r="E598">
            <v>9.1099118492237799E-2</v>
          </cell>
          <cell r="F598">
            <v>9.1099268752780266E-2</v>
          </cell>
          <cell r="G598">
            <v>0.1594217293554856</v>
          </cell>
          <cell r="H598">
            <v>0.32910164172628964</v>
          </cell>
          <cell r="I598">
            <v>0.518212870478583</v>
          </cell>
        </row>
        <row r="599">
          <cell r="A599" t="str">
            <v>ITOT-SWHCONBR3</v>
          </cell>
          <cell r="B599" t="str">
            <v>VAR_fout</v>
          </cell>
          <cell r="C599" t="str">
            <v>ITOT-ELS</v>
          </cell>
          <cell r="E599">
            <v>2.1620421177135649E-3</v>
          </cell>
          <cell r="F599">
            <v>2.1623327804153494E-3</v>
          </cell>
          <cell r="G599">
            <v>2.1631993781304091E-3</v>
          </cell>
          <cell r="H599">
            <v>6.7873055868062401E-4</v>
          </cell>
          <cell r="I599">
            <v>5.4931899835025753E-4</v>
          </cell>
        </row>
        <row r="600">
          <cell r="A600" t="str">
            <v>ITOT-SWHCONBR3</v>
          </cell>
          <cell r="B600" t="str">
            <v>VAR_fout</v>
          </cell>
          <cell r="C600" t="str">
            <v>ITOT-SWHC</v>
          </cell>
          <cell r="E600">
            <v>4.2906952278851003E-3</v>
          </cell>
          <cell r="F600">
            <v>4.2912720645050884E-3</v>
          </cell>
          <cell r="G600">
            <v>4.2929918768297715E-3</v>
          </cell>
          <cell r="H600">
            <v>1.3469792957736255E-3</v>
          </cell>
          <cell r="I600">
            <v>1.090154713221145E-3</v>
          </cell>
        </row>
        <row r="601">
          <cell r="A601" t="str">
            <v>ITOT-SWHCONBR3</v>
          </cell>
          <cell r="B601" t="str">
            <v>VAR_fin</v>
          </cell>
          <cell r="C601" t="str">
            <v>CON</v>
          </cell>
          <cell r="E601">
            <v>6.4527373455986617E-3</v>
          </cell>
          <cell r="F601">
            <v>6.4536048449204348E-3</v>
          </cell>
          <cell r="G601">
            <v>6.4561912549601745E-3</v>
          </cell>
          <cell r="H601">
            <v>2.0257098544542501E-3</v>
          </cell>
          <cell r="I601">
            <v>1.6394737115714047E-3</v>
          </cell>
        </row>
        <row r="602">
          <cell r="A602" t="str">
            <v>ITOT-SWHCONBR3</v>
          </cell>
          <cell r="B602" t="str">
            <v>VAR_ncap</v>
          </cell>
          <cell r="C602" t="str">
            <v>-</v>
          </cell>
          <cell r="E602">
            <v>3.5065070054678799E-4</v>
          </cell>
          <cell r="F602">
            <v>1.11546127823217E-7</v>
          </cell>
          <cell r="G602">
            <v>1.4473354660134299E-7</v>
          </cell>
          <cell r="H602">
            <v>1.083612894208E-4</v>
          </cell>
          <cell r="I602">
            <v>9.7925422135665299E-6</v>
          </cell>
        </row>
        <row r="603">
          <cell r="A603" t="str">
            <v>ITOT-SWHCONBR3</v>
          </cell>
          <cell r="B603" t="str">
            <v>VAR_cap</v>
          </cell>
          <cell r="C603" t="str">
            <v>-</v>
          </cell>
          <cell r="E603">
            <v>3.5065070054678799E-4</v>
          </cell>
          <cell r="F603">
            <v>3.5076224667461098E-4</v>
          </cell>
          <cell r="G603">
            <v>3.5090698022121198E-4</v>
          </cell>
          <cell r="H603">
            <v>1.09609501787039E-4</v>
          </cell>
          <cell r="I603">
            <v>8.8911779116670895E-5</v>
          </cell>
        </row>
        <row r="604">
          <cell r="A604" t="str">
            <v>ITOT-ELCSPECADV</v>
          </cell>
          <cell r="B604" t="str">
            <v>VAR_fout</v>
          </cell>
          <cell r="C604" t="str">
            <v>ITOT-ELS</v>
          </cell>
          <cell r="G604">
            <v>1.0804355479437178E-3</v>
          </cell>
          <cell r="H604">
            <v>2.0221100547871029E-3</v>
          </cell>
          <cell r="I604">
            <v>0.42290983534942245</v>
          </cell>
        </row>
        <row r="605">
          <cell r="A605" t="str">
            <v>ITOT-ELCSPECADV</v>
          </cell>
          <cell r="B605" t="str">
            <v>VAR_fin</v>
          </cell>
          <cell r="C605" t="str">
            <v>ITOT_ELC</v>
          </cell>
          <cell r="G605">
            <v>9.3028712831690194E-4</v>
          </cell>
          <cell r="H605">
            <v>1.6563889264470514E-3</v>
          </cell>
          <cell r="I605">
            <v>0.31049548580835934</v>
          </cell>
        </row>
        <row r="606">
          <cell r="A606" t="str">
            <v>ITOT-ELCSPECADV</v>
          </cell>
          <cell r="B606" t="str">
            <v>VAR_ncap</v>
          </cell>
          <cell r="C606" t="str">
            <v>-</v>
          </cell>
          <cell r="G606">
            <v>6.07246012527011E-5</v>
          </cell>
          <cell r="H606">
            <v>2.6434003265130599E-5</v>
          </cell>
          <cell r="I606">
            <v>2.29072535067598E-2</v>
          </cell>
        </row>
        <row r="607">
          <cell r="A607" t="str">
            <v>ITOT-ELCSPECADV</v>
          </cell>
          <cell r="B607" t="str">
            <v>VAR_cap</v>
          </cell>
          <cell r="C607" t="str">
            <v>-</v>
          </cell>
          <cell r="G607">
            <v>6.07246012527011E-5</v>
          </cell>
          <cell r="H607">
            <v>1.131499737422185E-4</v>
          </cell>
          <cell r="I607">
            <v>2.299902695477845E-2</v>
          </cell>
        </row>
        <row r="608">
          <cell r="A608" t="str">
            <v>RHES-SHELCBR</v>
          </cell>
          <cell r="B608" t="str">
            <v>VAR_fout</v>
          </cell>
          <cell r="C608" t="str">
            <v>RHES-SHAELCB</v>
          </cell>
          <cell r="D608">
            <v>4.2799809937790121</v>
          </cell>
          <cell r="E608">
            <v>4.4886667763106081</v>
          </cell>
          <cell r="F608">
            <v>0.77327767030369565</v>
          </cell>
          <cell r="G608">
            <v>0.18443206006795185</v>
          </cell>
          <cell r="H608">
            <v>3.2248011552250167E-3</v>
          </cell>
          <cell r="I608">
            <v>1.7068396431721424E-3</v>
          </cell>
        </row>
        <row r="609">
          <cell r="A609" t="str">
            <v>RHES-SHELCBR</v>
          </cell>
          <cell r="B609" t="str">
            <v>VAR_fin</v>
          </cell>
          <cell r="C609" t="str">
            <v>RHES_ELC</v>
          </cell>
          <cell r="D609">
            <v>4.5052431513463276</v>
          </cell>
          <cell r="E609">
            <v>4.7249123961164257</v>
          </cell>
          <cell r="F609">
            <v>0.84454287258382932</v>
          </cell>
          <cell r="G609">
            <v>0.20142930254945565</v>
          </cell>
          <cell r="H609">
            <v>3.476893661827329E-3</v>
          </cell>
          <cell r="I609">
            <v>1.8059266186856815E-3</v>
          </cell>
        </row>
        <row r="610">
          <cell r="A610" t="str">
            <v>RHES-SHELCBR</v>
          </cell>
          <cell r="B610" t="str">
            <v>VAR_ncap</v>
          </cell>
          <cell r="C610" t="str">
            <v>-</v>
          </cell>
          <cell r="D610">
            <v>8.0710960727798794E-8</v>
          </cell>
          <cell r="E610">
            <v>1.6877476788282799E-2</v>
          </cell>
          <cell r="F610">
            <v>1.7404093702575801E-7</v>
          </cell>
          <cell r="G610">
            <v>3.6670467518881199E-7</v>
          </cell>
          <cell r="H610">
            <v>2.8914203929815999E-4</v>
          </cell>
          <cell r="I610">
            <v>2.0425050581889001E-7</v>
          </cell>
        </row>
        <row r="611">
          <cell r="A611" t="str">
            <v>RHES-SHELCBR</v>
          </cell>
          <cell r="B611" t="str">
            <v>VAR_cap</v>
          </cell>
          <cell r="C611" t="str">
            <v>-</v>
          </cell>
          <cell r="D611">
            <v>0.34576938058729373</v>
          </cell>
          <cell r="E611">
            <v>0.36264675755167625</v>
          </cell>
          <cell r="F611">
            <v>0.10442838469397148</v>
          </cell>
          <cell r="G611">
            <v>2.6902518383640661E-2</v>
          </cell>
          <cell r="H611">
            <v>2.9236441636305372E-4</v>
          </cell>
          <cell r="I611">
            <v>2.0774874231592325E-4</v>
          </cell>
        </row>
        <row r="612">
          <cell r="A612" t="str">
            <v>RHSA-WHELCBR</v>
          </cell>
          <cell r="B612" t="str">
            <v>VAR_fout</v>
          </cell>
          <cell r="C612" t="str">
            <v>RHSA-WHAELCB</v>
          </cell>
          <cell r="D612">
            <v>6.6447017042624266</v>
          </cell>
          <cell r="E612">
            <v>6.968709298301432</v>
          </cell>
          <cell r="F612">
            <v>2.7653881927787292</v>
          </cell>
          <cell r="G612">
            <v>2.0124999667850889</v>
          </cell>
          <cell r="H612">
            <v>1.7261510780155624</v>
          </cell>
          <cell r="I612">
            <v>1.5570018637909606</v>
          </cell>
        </row>
        <row r="613">
          <cell r="A613" t="str">
            <v>RHSA-WHELCBR</v>
          </cell>
          <cell r="B613" t="str">
            <v>VAR_fin</v>
          </cell>
          <cell r="C613" t="str">
            <v>RHSA_ELC</v>
          </cell>
          <cell r="D613">
            <v>8.411014815522055</v>
          </cell>
          <cell r="E613">
            <v>8.7988753766432275</v>
          </cell>
          <cell r="F613">
            <v>5.9374199078035641</v>
          </cell>
          <cell r="G613">
            <v>4.1476209829982933</v>
          </cell>
          <cell r="H613">
            <v>3.4205778738485475</v>
          </cell>
          <cell r="I613">
            <v>2.9974608660269513</v>
          </cell>
        </row>
        <row r="614">
          <cell r="A614" t="str">
            <v>RHSA-WHELCBR</v>
          </cell>
          <cell r="B614" t="str">
            <v>VAR_ncap</v>
          </cell>
          <cell r="C614" t="str">
            <v>-</v>
          </cell>
          <cell r="D614">
            <v>1.31810347644076E-5</v>
          </cell>
          <cell r="E614">
            <v>3.4219397482908601E-2</v>
          </cell>
          <cell r="F614">
            <v>4.4412789095284898E-7</v>
          </cell>
          <cell r="G614">
            <v>7.6418059637987802E-7</v>
          </cell>
          <cell r="H614">
            <v>7.7032368245304697E-2</v>
          </cell>
          <cell r="I614">
            <v>8.5671780177466003E-2</v>
          </cell>
        </row>
        <row r="615">
          <cell r="A615" t="str">
            <v>RHSA-WHELCBR</v>
          </cell>
          <cell r="B615" t="str">
            <v>VAR_cap</v>
          </cell>
          <cell r="C615" t="str">
            <v>-</v>
          </cell>
          <cell r="D615">
            <v>0.43758176980844138</v>
          </cell>
          <cell r="E615">
            <v>0.47180083412835278</v>
          </cell>
          <cell r="F615">
            <v>0.32188866567574898</v>
          </cell>
          <cell r="G615">
            <v>0.2497438433422354</v>
          </cell>
          <cell r="H615">
            <v>0.13316467002938306</v>
          </cell>
          <cell r="I615">
            <v>0.16531975156625525</v>
          </cell>
        </row>
        <row r="616">
          <cell r="A616" t="str">
            <v>ITOT-SWHLTHDH</v>
          </cell>
          <cell r="B616" t="str">
            <v>VAR_fout</v>
          </cell>
          <cell r="C616" t="str">
            <v>ITOT-SWH</v>
          </cell>
          <cell r="D616">
            <v>6.5822786638558037</v>
          </cell>
          <cell r="E616">
            <v>7.0678495741628637</v>
          </cell>
          <cell r="F616">
            <v>6.8125060785707481</v>
          </cell>
          <cell r="G616">
            <v>6.7125271556264732</v>
          </cell>
          <cell r="H616">
            <v>9.6082723127741083</v>
          </cell>
          <cell r="I616">
            <v>11.272208957813309</v>
          </cell>
        </row>
        <row r="617">
          <cell r="A617" t="str">
            <v>ITOT-SWHLTHDH</v>
          </cell>
          <cell r="B617" t="str">
            <v>VAR_fin</v>
          </cell>
          <cell r="C617" t="str">
            <v>ITOT_LTH_DH</v>
          </cell>
          <cell r="D617">
            <v>7.1200083028758767</v>
          </cell>
          <cell r="E617">
            <v>7.6289071432017055</v>
          </cell>
          <cell r="F617">
            <v>7.3297952615242101</v>
          </cell>
          <cell r="G617">
            <v>7.1839619334299112</v>
          </cell>
          <cell r="H617">
            <v>10.175265799962943</v>
          </cell>
          <cell r="I617">
            <v>11.865483113487695</v>
          </cell>
        </row>
        <row r="618">
          <cell r="A618" t="str">
            <v>ITOT-SWHLTHDH</v>
          </cell>
          <cell r="B618" t="str">
            <v>VAR_fin</v>
          </cell>
          <cell r="C618" t="str">
            <v>ITOTLTHDHC</v>
          </cell>
          <cell r="D618">
            <v>6.5822786638558037</v>
          </cell>
          <cell r="E618">
            <v>7.0678495741628637</v>
          </cell>
          <cell r="F618">
            <v>6.8125060785707481</v>
          </cell>
          <cell r="G618">
            <v>6.7125271556264732</v>
          </cell>
          <cell r="H618">
            <v>9.6082723127741083</v>
          </cell>
          <cell r="I618">
            <v>11.272208957813309</v>
          </cell>
        </row>
        <row r="619">
          <cell r="A619" t="str">
            <v>ITOT-SWHLTHDH</v>
          </cell>
          <cell r="B619" t="str">
            <v>VAR_ncap</v>
          </cell>
          <cell r="C619" t="str">
            <v>-</v>
          </cell>
          <cell r="E619">
            <v>3.99255696011485E-2</v>
          </cell>
          <cell r="F619">
            <v>0.10078716370379499</v>
          </cell>
          <cell r="G619">
            <v>3.8689095464949197E-2</v>
          </cell>
          <cell r="H619">
            <v>0.22976069055380799</v>
          </cell>
          <cell r="I619">
            <v>0.465093928223764</v>
          </cell>
        </row>
        <row r="620">
          <cell r="A620" t="str">
            <v>ITOT-SWHLTHDH</v>
          </cell>
          <cell r="B620" t="str">
            <v>VAR_cap</v>
          </cell>
          <cell r="C620" t="str">
            <v>-</v>
          </cell>
          <cell r="D620">
            <v>0.79547229253225304</v>
          </cell>
          <cell r="E620">
            <v>0.65438519265386652</v>
          </cell>
          <cell r="F620">
            <v>0.72010717268151203</v>
          </cell>
          <cell r="G620">
            <v>0.48936925333266401</v>
          </cell>
          <cell r="H620">
            <v>0.69454795806902525</v>
          </cell>
          <cell r="I620">
            <v>0.79547453417867231</v>
          </cell>
        </row>
        <row r="621">
          <cell r="A621" t="str">
            <v>RHES-SHCONBR2</v>
          </cell>
          <cell r="B621" t="str">
            <v>VAR_fout</v>
          </cell>
          <cell r="C621" t="str">
            <v>RHES-SHCON</v>
          </cell>
          <cell r="D621">
            <v>1.1903741710529537E-2</v>
          </cell>
          <cell r="E621">
            <v>0.82064716214907563</v>
          </cell>
          <cell r="F621">
            <v>0.47745989797945859</v>
          </cell>
          <cell r="G621">
            <v>0.82064918578347912</v>
          </cell>
          <cell r="H621">
            <v>2.9191267557131533</v>
          </cell>
          <cell r="I621">
            <v>4.6680517830337243</v>
          </cell>
        </row>
        <row r="622">
          <cell r="A622" t="str">
            <v>RHES-SHCONBR2</v>
          </cell>
          <cell r="B622" t="str">
            <v>VAR_fin</v>
          </cell>
          <cell r="C622" t="str">
            <v>CON</v>
          </cell>
          <cell r="D622">
            <v>1.1903741710529537E-2</v>
          </cell>
          <cell r="E622">
            <v>0.82064716214907563</v>
          </cell>
          <cell r="F622">
            <v>0.47745989797945859</v>
          </cell>
          <cell r="G622">
            <v>0.82064918578347912</v>
          </cell>
          <cell r="H622">
            <v>2.9191267557131533</v>
          </cell>
          <cell r="I622">
            <v>4.6680517830337243</v>
          </cell>
        </row>
        <row r="623">
          <cell r="A623" t="str">
            <v>RHES-SHCONBR2</v>
          </cell>
          <cell r="B623" t="str">
            <v>VAR_ncap</v>
          </cell>
          <cell r="C623" t="str">
            <v>-</v>
          </cell>
          <cell r="D623">
            <v>3.3149436687365398E-2</v>
          </cell>
          <cell r="E623">
            <v>3.3149434783871799E-2</v>
          </cell>
          <cell r="F623">
            <v>4.7266682862231197E-7</v>
          </cell>
          <cell r="G623">
            <v>1.2210224921914899E-5</v>
          </cell>
          <cell r="H623">
            <v>0.121149137957367</v>
          </cell>
          <cell r="I623">
            <v>0.17179822916419901</v>
          </cell>
        </row>
        <row r="624">
          <cell r="A624" t="str">
            <v>RHES-SHCONBR2</v>
          </cell>
          <cell r="B624" t="str">
            <v>VAR_cap</v>
          </cell>
          <cell r="C624" t="str">
            <v>-</v>
          </cell>
          <cell r="D624">
            <v>3.3149436687365398E-2</v>
          </cell>
          <cell r="E624">
            <v>6.6298871471237197E-2</v>
          </cell>
          <cell r="F624">
            <v>6.6299030496455302E-2</v>
          </cell>
          <cell r="G624">
            <v>6.631140027305317E-2</v>
          </cell>
          <cell r="H624">
            <v>0.23585108056706072</v>
          </cell>
          <cell r="I624">
            <v>0.37713875827321924</v>
          </cell>
        </row>
        <row r="625">
          <cell r="A625" t="str">
            <v>ITOT-SWHCONBR4</v>
          </cell>
          <cell r="B625" t="str">
            <v>VAR_fout</v>
          </cell>
          <cell r="C625" t="str">
            <v>ITOT-ELS</v>
          </cell>
          <cell r="E625">
            <v>2.1246256462973613E-4</v>
          </cell>
          <cell r="F625">
            <v>2.1282755058874329E-4</v>
          </cell>
          <cell r="G625">
            <v>2.1282703605095984E-4</v>
          </cell>
          <cell r="H625">
            <v>1.9979763465515914E-4</v>
          </cell>
          <cell r="I625">
            <v>1.427750167081324E-4</v>
          </cell>
        </row>
        <row r="626">
          <cell r="A626" t="str">
            <v>ITOT-SWHCONBR4</v>
          </cell>
          <cell r="B626" t="str">
            <v>VAR_fout</v>
          </cell>
          <cell r="C626" t="str">
            <v>ITOT-SWHC</v>
          </cell>
          <cell r="E626">
            <v>2.2832371166335058E-3</v>
          </cell>
          <cell r="F626">
            <v>2.2871594522699381E-3</v>
          </cell>
          <cell r="G626">
            <v>2.2871539227698741E-3</v>
          </cell>
          <cell r="H626">
            <v>2.1471329598945848E-3</v>
          </cell>
          <cell r="I626">
            <v>1.5343372045051142E-3</v>
          </cell>
        </row>
        <row r="627">
          <cell r="A627" t="str">
            <v>ITOT-SWHCONBR4</v>
          </cell>
          <cell r="B627" t="str">
            <v>VAR_fin</v>
          </cell>
          <cell r="C627" t="str">
            <v>CON</v>
          </cell>
          <cell r="E627">
            <v>2.4956996812632404E-3</v>
          </cell>
          <cell r="F627">
            <v>2.4999870028586811E-3</v>
          </cell>
          <cell r="G627">
            <v>2.4999809588208328E-3</v>
          </cell>
          <cell r="H627">
            <v>2.3469305945497459E-3</v>
          </cell>
          <cell r="I627">
            <v>1.6771122212132479E-3</v>
          </cell>
        </row>
        <row r="628">
          <cell r="A628" t="str">
            <v>ITOT-SWHCONBR4</v>
          </cell>
          <cell r="B628" t="str">
            <v>VAR_ncap</v>
          </cell>
          <cell r="C628" t="str">
            <v>-</v>
          </cell>
          <cell r="E628">
            <v>1.3513768615578E-4</v>
          </cell>
          <cell r="F628">
            <v>2.7786941657217101E-7</v>
          </cell>
          <cell r="G628">
            <v>2.4627625720643001E-7</v>
          </cell>
          <cell r="H628">
            <v>9.7170914085276296E-5</v>
          </cell>
          <cell r="I628">
            <v>7.7781096211576195E-6</v>
          </cell>
        </row>
        <row r="629">
          <cell r="A629" t="str">
            <v>ITOT-SWHCONBR4</v>
          </cell>
          <cell r="B629" t="str">
            <v>VAR_cap</v>
          </cell>
          <cell r="C629" t="str">
            <v>-</v>
          </cell>
          <cell r="E629">
            <v>1.3513768615578E-4</v>
          </cell>
          <cell r="F629">
            <v>1.3541555557235299E-4</v>
          </cell>
          <cell r="G629">
            <v>1.3566183182955901E-4</v>
          </cell>
          <cell r="H629">
            <v>1.2749379207402999E-4</v>
          </cell>
          <cell r="I629">
            <v>9.1032747191176395E-5</v>
          </cell>
        </row>
        <row r="630">
          <cell r="A630" t="str">
            <v>D-ITOT_NKEV_GAS_ELC_CHP</v>
          </cell>
          <cell r="B630" t="str">
            <v>VAR_fout</v>
          </cell>
          <cell r="C630" t="str">
            <v>ITOT_ELC</v>
          </cell>
          <cell r="D630">
            <v>9.300469729904571E-4</v>
          </cell>
          <cell r="E630">
            <v>0.21018566103380176</v>
          </cell>
          <cell r="F630">
            <v>4.8723297126628567E-2</v>
          </cell>
          <cell r="G630">
            <v>0.33659963574544127</v>
          </cell>
          <cell r="H630">
            <v>1.638387868403816</v>
          </cell>
          <cell r="I630">
            <v>1.1508328232312464</v>
          </cell>
        </row>
        <row r="631">
          <cell r="A631" t="str">
            <v>D-ITOT_NKEV_GAS_ELC_CHP</v>
          </cell>
          <cell r="B631" t="str">
            <v>VAR_fout</v>
          </cell>
          <cell r="C631" t="str">
            <v>ELC5</v>
          </cell>
          <cell r="D631">
            <v>0.66903513626121314</v>
          </cell>
          <cell r="E631">
            <v>2.2145804183645399E-3</v>
          </cell>
          <cell r="F631">
            <v>1.4834020479682134E-3</v>
          </cell>
          <cell r="G631">
            <v>1.3112421014550362E-3</v>
          </cell>
          <cell r="H631">
            <v>8.1100789844105042E-2</v>
          </cell>
          <cell r="I631">
            <v>0.15462161345199216</v>
          </cell>
        </row>
        <row r="632">
          <cell r="A632" t="str">
            <v>D-ITOT_NKEV_GAS_ELC_CHP</v>
          </cell>
          <cell r="B632" t="str">
            <v>VAR_fin</v>
          </cell>
          <cell r="C632" t="str">
            <v>ITOT_NKEV_GAS_ELC_CHP</v>
          </cell>
          <cell r="D632">
            <v>0.6699651832342044</v>
          </cell>
          <cell r="E632">
            <v>0.21240024145216624</v>
          </cell>
          <cell r="F632">
            <v>5.0201815304793812E-2</v>
          </cell>
          <cell r="G632">
            <v>0.33791087784689627</v>
          </cell>
          <cell r="H632">
            <v>1.7194886582479207</v>
          </cell>
          <cell r="I632">
            <v>1.3054544366832386</v>
          </cell>
        </row>
        <row r="633">
          <cell r="A633" t="str">
            <v>SCOM-SHELCBR</v>
          </cell>
          <cell r="B633" t="str">
            <v>VAR_fout</v>
          </cell>
          <cell r="C633" t="str">
            <v>SCOM-SHAELCB</v>
          </cell>
          <cell r="D633">
            <v>2.3940392668733161</v>
          </cell>
          <cell r="E633">
            <v>2.3075959749910666E-3</v>
          </cell>
          <cell r="F633">
            <v>0.49767796819027921</v>
          </cell>
          <cell r="G633">
            <v>0.30366255346233179</v>
          </cell>
          <cell r="H633">
            <v>0.21873025917507216</v>
          </cell>
          <cell r="I633">
            <v>0.15803765219412083</v>
          </cell>
        </row>
        <row r="634">
          <cell r="A634" t="str">
            <v>SCOM-SHELCBR</v>
          </cell>
          <cell r="B634" t="str">
            <v>VAR_fin</v>
          </cell>
          <cell r="C634" t="str">
            <v>SCOM_ELC</v>
          </cell>
          <cell r="D634">
            <v>2.6236046760255505</v>
          </cell>
          <cell r="E634">
            <v>2.5219628141978866E-3</v>
          </cell>
          <cell r="F634">
            <v>1.0541885265667374</v>
          </cell>
          <cell r="G634">
            <v>0.61555338251910996</v>
          </cell>
          <cell r="H634">
            <v>0.43169300500371871</v>
          </cell>
          <cell r="I634">
            <v>0.29898916101314199</v>
          </cell>
        </row>
        <row r="635">
          <cell r="A635" t="str">
            <v>SCOM-SHELCBR</v>
          </cell>
          <cell r="B635" t="str">
            <v>VAR_ncap</v>
          </cell>
          <cell r="C635" t="str">
            <v>-</v>
          </cell>
          <cell r="D635">
            <v>2.5669148517009398E-6</v>
          </cell>
          <cell r="E635">
            <v>1.85359303466852E-6</v>
          </cell>
          <cell r="F635">
            <v>3.8252894554727898E-2</v>
          </cell>
          <cell r="G635">
            <v>2.64553195085177E-6</v>
          </cell>
          <cell r="H635">
            <v>1.8617255245775399E-2</v>
          </cell>
          <cell r="I635">
            <v>5.2687012475079696E-3</v>
          </cell>
        </row>
        <row r="636">
          <cell r="A636" t="str">
            <v>SCOM-SHELCBR</v>
          </cell>
          <cell r="B636" t="str">
            <v>VAR_cap</v>
          </cell>
          <cell r="C636" t="str">
            <v>-</v>
          </cell>
          <cell r="D636">
            <v>0.18499061526629371</v>
          </cell>
          <cell r="E636">
            <v>3.440902409363733E-4</v>
          </cell>
          <cell r="F636">
            <v>3.8594745758437327E-2</v>
          </cell>
          <cell r="G636">
            <v>3.858620817118022E-2</v>
          </cell>
          <cell r="H636">
            <v>2.5421539120946159E-2</v>
          </cell>
          <cell r="I636">
            <v>1.8791960417318954E-2</v>
          </cell>
        </row>
        <row r="637">
          <cell r="A637" t="str">
            <v>RHES-SHCONBR3</v>
          </cell>
          <cell r="B637" t="str">
            <v>VAR_fout</v>
          </cell>
          <cell r="C637" t="str">
            <v>RHES-SHCON</v>
          </cell>
          <cell r="D637">
            <v>1.4152998993247788E-2</v>
          </cell>
          <cell r="E637">
            <v>1.3554945792010289</v>
          </cell>
          <cell r="F637">
            <v>0.85465954272093247</v>
          </cell>
          <cell r="G637">
            <v>1.3553553280047366</v>
          </cell>
          <cell r="H637">
            <v>1.3552648502566562</v>
          </cell>
          <cell r="I637">
            <v>1.8087557519078594</v>
          </cell>
        </row>
        <row r="638">
          <cell r="A638" t="str">
            <v>RHES-SHCONBR3</v>
          </cell>
          <cell r="B638" t="str">
            <v>VAR_fin</v>
          </cell>
          <cell r="C638" t="str">
            <v>CON</v>
          </cell>
          <cell r="D638">
            <v>1.4152998993247788E-2</v>
          </cell>
          <cell r="E638">
            <v>1.3554945792010289</v>
          </cell>
          <cell r="F638">
            <v>0.85465954272093247</v>
          </cell>
          <cell r="G638">
            <v>1.3553553280047366</v>
          </cell>
          <cell r="H638">
            <v>1.3552648502566562</v>
          </cell>
          <cell r="I638">
            <v>1.8087557519078594</v>
          </cell>
        </row>
        <row r="639">
          <cell r="A639" t="str">
            <v>RHES-SHCONBR3</v>
          </cell>
          <cell r="B639" t="str">
            <v>VAR_ncap</v>
          </cell>
          <cell r="C639" t="str">
            <v>-</v>
          </cell>
          <cell r="D639">
            <v>5.4754061419012602E-2</v>
          </cell>
          <cell r="E639">
            <v>5.4754008642921598E-2</v>
          </cell>
          <cell r="F639">
            <v>6.9000511161357404E-8</v>
          </cell>
          <cell r="G639">
            <v>1.30666670177777E-7</v>
          </cell>
          <cell r="H639">
            <v>2.8573575893010198E-7</v>
          </cell>
          <cell r="I639">
            <v>8.7018988600691294E-2</v>
          </cell>
        </row>
        <row r="640">
          <cell r="A640" t="str">
            <v>RHES-SHCONBR3</v>
          </cell>
          <cell r="B640" t="str">
            <v>VAR_cap</v>
          </cell>
          <cell r="C640" t="str">
            <v>-</v>
          </cell>
          <cell r="D640">
            <v>5.4754061419012602E-2</v>
          </cell>
          <cell r="E640">
            <v>0.109508070061934</v>
          </cell>
          <cell r="F640">
            <v>0.109507824039048</v>
          </cell>
          <cell r="G640">
            <v>0.1095081259201145</v>
          </cell>
          <cell r="H640">
            <v>0.10950849577938498</v>
          </cell>
          <cell r="I640">
            <v>0.14613235130018395</v>
          </cell>
        </row>
        <row r="641">
          <cell r="A641" t="str">
            <v>ITOT-SWHCONBR5</v>
          </cell>
          <cell r="B641" t="str">
            <v>VAR_fout</v>
          </cell>
          <cell r="C641" t="str">
            <v>ITOT-ELS</v>
          </cell>
          <cell r="E641">
            <v>2.0528913902743311E-4</v>
          </cell>
          <cell r="F641">
            <v>2.0568212734356297E-4</v>
          </cell>
          <cell r="G641">
            <v>2.0551977225955349E-4</v>
          </cell>
          <cell r="H641">
            <v>1.734326964577354E-4</v>
          </cell>
          <cell r="I641">
            <v>1.2612295077504178E-4</v>
          </cell>
        </row>
        <row r="642">
          <cell r="A642" t="str">
            <v>ITOT-SWHCONBR5</v>
          </cell>
          <cell r="B642" t="str">
            <v>VAR_fout</v>
          </cell>
          <cell r="C642" t="str">
            <v>ITOT-SWHC</v>
          </cell>
          <cell r="E642">
            <v>1.0069178691515658E-3</v>
          </cell>
          <cell r="F642">
            <v>1.0088454282993779E-3</v>
          </cell>
          <cell r="G642">
            <v>1.0080490966667796E-3</v>
          </cell>
          <cell r="H642">
            <v>8.5066595332691688E-4</v>
          </cell>
          <cell r="I642">
            <v>6.1861749455991506E-4</v>
          </cell>
        </row>
        <row r="643">
          <cell r="A643" t="str">
            <v>ITOT-SWHCONBR5</v>
          </cell>
          <cell r="B643" t="str">
            <v>VAR_fin</v>
          </cell>
          <cell r="C643" t="str">
            <v>CON</v>
          </cell>
          <cell r="E643">
            <v>1.212207008178999E-3</v>
          </cell>
          <cell r="F643">
            <v>1.21452755564294E-3</v>
          </cell>
          <cell r="G643">
            <v>1.2135688689263319E-3</v>
          </cell>
          <cell r="H643">
            <v>1.0240986497846523E-3</v>
          </cell>
          <cell r="I643">
            <v>7.4474044533495698E-4</v>
          </cell>
        </row>
        <row r="644">
          <cell r="A644" t="str">
            <v>ITOT-SWHCONBR5</v>
          </cell>
          <cell r="B644" t="str">
            <v>VAR_ncap</v>
          </cell>
          <cell r="C644" t="str">
            <v>-</v>
          </cell>
          <cell r="E644">
            <v>6.529838209873E-5</v>
          </cell>
          <cell r="F644">
            <v>1.8451568941076301E-7</v>
          </cell>
          <cell r="G644">
            <v>1.9362155006101501E-7</v>
          </cell>
          <cell r="H644">
            <v>4.0890144103113797E-5</v>
          </cell>
          <cell r="I644">
            <v>4.5663053599851199E-6</v>
          </cell>
        </row>
        <row r="645">
          <cell r="A645" t="str">
            <v>ITOT-SWHCONBR5</v>
          </cell>
          <cell r="B645" t="str">
            <v>VAR_cap</v>
          </cell>
          <cell r="C645" t="str">
            <v>-</v>
          </cell>
          <cell r="E645">
            <v>6.529838209873E-5</v>
          </cell>
          <cell r="F645">
            <v>6.5482897788140794E-5</v>
          </cell>
          <cell r="G645">
            <v>6.5676519338201796E-5</v>
          </cell>
          <cell r="H645">
            <v>5.5370016793085497E-5</v>
          </cell>
          <cell r="I645">
            <v>4.0296801036379997E-5</v>
          </cell>
        </row>
        <row r="646">
          <cell r="A646" t="str">
            <v>RHES-SHSTG-ELC</v>
          </cell>
          <cell r="B646" t="str">
            <v>VAR_fout</v>
          </cell>
          <cell r="C646" t="str">
            <v>RHES-SHAELCB</v>
          </cell>
          <cell r="D646">
            <v>4.1729394825392764E-7</v>
          </cell>
          <cell r="E646">
            <v>0.67475644827761827</v>
          </cell>
          <cell r="F646">
            <v>9.89682767912302E-2</v>
          </cell>
          <cell r="G646">
            <v>2.576249466637642E-2</v>
          </cell>
          <cell r="H646">
            <v>2.5091005458506755E-4</v>
          </cell>
          <cell r="I646">
            <v>2.2325102805825935E-4</v>
          </cell>
        </row>
        <row r="647">
          <cell r="A647" t="str">
            <v>RHES-SHSTG-ELC</v>
          </cell>
          <cell r="B647" t="str">
            <v>VAR_fin</v>
          </cell>
          <cell r="C647" t="str">
            <v>RHES-SHAELCB</v>
          </cell>
          <cell r="D647">
            <v>2.826578445733452E-6</v>
          </cell>
          <cell r="E647">
            <v>0.67478310376936734</v>
          </cell>
          <cell r="F647">
            <v>9.896986872953592E-2</v>
          </cell>
          <cell r="G647">
            <v>2.5761838914734794E-2</v>
          </cell>
          <cell r="H647">
            <v>2.5130081935533855E-4</v>
          </cell>
          <cell r="I647">
            <v>2.2316333233276996E-4</v>
          </cell>
        </row>
        <row r="648">
          <cell r="A648" t="str">
            <v>RHES-SHSTG-ELC</v>
          </cell>
          <cell r="B648" t="str">
            <v>VAR_ncap</v>
          </cell>
          <cell r="C648" t="str">
            <v>-</v>
          </cell>
          <cell r="D648">
            <v>7.6899866537028802E-3</v>
          </cell>
          <cell r="E648">
            <v>5.6321474100480801E-2</v>
          </cell>
          <cell r="F648">
            <v>1.29120495446533E-5</v>
          </cell>
          <cell r="G648">
            <v>1.28524887131228E-5</v>
          </cell>
          <cell r="H648">
            <v>3.9954414148921101E-5</v>
          </cell>
          <cell r="I648">
            <v>1.3005004934203501E-5</v>
          </cell>
        </row>
        <row r="649">
          <cell r="A649" t="str">
            <v>RHES-SHSTG-ELC</v>
          </cell>
          <cell r="B649" t="str">
            <v>VAR_cap</v>
          </cell>
          <cell r="C649" t="str">
            <v>-</v>
          </cell>
          <cell r="D649">
            <v>7.6899866537028802E-3</v>
          </cell>
          <cell r="E649">
            <v>6.3996841947564359E-2</v>
          </cell>
          <cell r="F649">
            <v>1.8428777130259498E-2</v>
          </cell>
          <cell r="G649">
            <v>4.747748010243108E-3</v>
          </cell>
          <cell r="H649">
            <v>5.1795216075663995E-5</v>
          </cell>
          <cell r="I649">
            <v>3.6956886158310397E-5</v>
          </cell>
        </row>
        <row r="650">
          <cell r="A650" t="str">
            <v>RHES-SHCONBR4</v>
          </cell>
          <cell r="B650" t="str">
            <v>VAR_fout</v>
          </cell>
          <cell r="C650" t="str">
            <v>RHES-SHCON</v>
          </cell>
          <cell r="E650">
            <v>0.4266731174088822</v>
          </cell>
          <cell r="F650">
            <v>0.22912872791454478</v>
          </cell>
          <cell r="G650">
            <v>0.42654217680646156</v>
          </cell>
          <cell r="H650">
            <v>0.42645442241245274</v>
          </cell>
          <cell r="I650">
            <v>0.24659322540473042</v>
          </cell>
        </row>
        <row r="651">
          <cell r="A651" t="str">
            <v>RHES-SHCONBR4</v>
          </cell>
          <cell r="B651" t="str">
            <v>VAR_fin</v>
          </cell>
          <cell r="C651" t="str">
            <v>CON</v>
          </cell>
          <cell r="E651">
            <v>0.4266731174088822</v>
          </cell>
          <cell r="F651">
            <v>0.22912872791454478</v>
          </cell>
          <cell r="G651">
            <v>0.42654217680646156</v>
          </cell>
          <cell r="H651">
            <v>0.42645442241245274</v>
          </cell>
          <cell r="I651">
            <v>0.24659322540473042</v>
          </cell>
        </row>
        <row r="652">
          <cell r="A652" t="str">
            <v>RHES-SHCONBR4</v>
          </cell>
          <cell r="B652" t="str">
            <v>VAR_ncap</v>
          </cell>
          <cell r="C652" t="str">
            <v>-</v>
          </cell>
          <cell r="E652">
            <v>3.4470569199101901E-2</v>
          </cell>
          <cell r="F652">
            <v>5.7291032229796998E-8</v>
          </cell>
          <cell r="G652">
            <v>9.4067579858034106E-8</v>
          </cell>
          <cell r="H652">
            <v>2.2631901740126001E-7</v>
          </cell>
          <cell r="I652">
            <v>5.4472256776052904E-7</v>
          </cell>
        </row>
        <row r="653">
          <cell r="A653" t="str">
            <v>RHES-SHCONBR4</v>
          </cell>
          <cell r="B653" t="str">
            <v>VAR_cap</v>
          </cell>
          <cell r="C653" t="str">
            <v>-</v>
          </cell>
          <cell r="E653">
            <v>3.4470569199101901E-2</v>
          </cell>
          <cell r="F653">
            <v>3.4470489969113699E-2</v>
          </cell>
          <cell r="G653">
            <v>3.447063318830744E-2</v>
          </cell>
          <cell r="H653">
            <v>3.4470915113563566E-2</v>
          </cell>
          <cell r="I653">
            <v>1.9928420211985386E-2</v>
          </cell>
        </row>
        <row r="654">
          <cell r="A654" t="str">
            <v>ITOT-SWHCONBR6</v>
          </cell>
          <cell r="B654" t="str">
            <v>VAR_fout</v>
          </cell>
          <cell r="C654" t="str">
            <v>ITOT-SWHC</v>
          </cell>
          <cell r="E654">
            <v>5.3857285006756166E-4</v>
          </cell>
          <cell r="F654">
            <v>5.4528712885890834E-4</v>
          </cell>
          <cell r="G654">
            <v>5.4487537513234739E-4</v>
          </cell>
          <cell r="H654">
            <v>5.9498834287604978E-4</v>
          </cell>
          <cell r="I654">
            <v>3.6739211450330985E-4</v>
          </cell>
        </row>
        <row r="655">
          <cell r="A655" t="str">
            <v>ITOT-SWHCONBR6</v>
          </cell>
          <cell r="B655" t="str">
            <v>VAR_fin</v>
          </cell>
          <cell r="C655" t="str">
            <v>CON</v>
          </cell>
          <cell r="E655">
            <v>5.3857285006756166E-4</v>
          </cell>
          <cell r="F655">
            <v>5.4528712885890834E-4</v>
          </cell>
          <cell r="G655">
            <v>5.4487537513234739E-4</v>
          </cell>
          <cell r="H655">
            <v>5.9498834287604978E-4</v>
          </cell>
          <cell r="I655">
            <v>3.6739211450330985E-4</v>
          </cell>
        </row>
        <row r="656">
          <cell r="A656" t="str">
            <v>ITOT-SWHCONBR6</v>
          </cell>
          <cell r="B656" t="str">
            <v>VAR_ncap</v>
          </cell>
          <cell r="C656" t="str">
            <v>-</v>
          </cell>
          <cell r="E656">
            <v>2.86728403036818E-5</v>
          </cell>
          <cell r="F656">
            <v>3.9764820262717698E-7</v>
          </cell>
          <cell r="G656">
            <v>2.2272798051780399E-7</v>
          </cell>
          <cell r="H656">
            <v>5.6373398070454902E-6</v>
          </cell>
          <cell r="I656">
            <v>4.6029045964562498E-6</v>
          </cell>
        </row>
        <row r="657">
          <cell r="A657" t="str">
            <v>ITOT-SWHCONBR6</v>
          </cell>
          <cell r="B657" t="str">
            <v>VAR_cap</v>
          </cell>
          <cell r="C657" t="str">
            <v>-</v>
          </cell>
          <cell r="E657">
            <v>2.86728403036818E-5</v>
          </cell>
          <cell r="F657">
            <v>2.9070488506309E-5</v>
          </cell>
          <cell r="G657">
            <v>2.9293216486826799E-5</v>
          </cell>
          <cell r="H657">
            <v>3.2030682201776301E-5</v>
          </cell>
          <cell r="I657">
            <v>1.9764215279303999E-5</v>
          </cell>
        </row>
        <row r="658">
          <cell r="A658" t="str">
            <v>RHNM-SHNGAHP</v>
          </cell>
          <cell r="B658" t="str">
            <v>VAR_fout</v>
          </cell>
          <cell r="C658" t="str">
            <v>CO2_R</v>
          </cell>
          <cell r="F658">
            <v>6.2051436702226797</v>
          </cell>
          <cell r="G658">
            <v>19.3108406741053</v>
          </cell>
          <cell r="H658">
            <v>33.5401969442105</v>
          </cell>
          <cell r="I658">
            <v>39.004729887505</v>
          </cell>
        </row>
        <row r="659">
          <cell r="A659" t="str">
            <v>RHNM-SHNGAHP</v>
          </cell>
          <cell r="B659" t="str">
            <v>VAR_fout</v>
          </cell>
          <cell r="C659" t="str">
            <v>RHNM-SHANGAH</v>
          </cell>
          <cell r="F659">
            <v>0.21560678790324936</v>
          </cell>
          <cell r="G659">
            <v>0.69028866817371604</v>
          </cell>
          <cell r="H659">
            <v>1.2280980937174226</v>
          </cell>
          <cell r="I659">
            <v>1.466454278833689</v>
          </cell>
        </row>
        <row r="660">
          <cell r="A660" t="str">
            <v>RHNM-SHNGAHP</v>
          </cell>
          <cell r="B660" t="str">
            <v>VAR_fin</v>
          </cell>
          <cell r="C660" t="str">
            <v>RNGA</v>
          </cell>
          <cell r="F660">
            <v>0.1100202778408277</v>
          </cell>
          <cell r="G660">
            <v>0.34239079209406559</v>
          </cell>
          <cell r="H660">
            <v>0.59468434298245598</v>
          </cell>
          <cell r="I660">
            <v>0.69157322495576246</v>
          </cell>
        </row>
        <row r="661">
          <cell r="A661" t="str">
            <v>RHNM-SHNGAHP</v>
          </cell>
          <cell r="B661" t="str">
            <v>VAR_fin</v>
          </cell>
          <cell r="C661" t="str">
            <v>RHNMELCHPC</v>
          </cell>
          <cell r="F661">
            <v>0.21560678790324936</v>
          </cell>
          <cell r="G661">
            <v>0.69028866817371604</v>
          </cell>
          <cell r="H661">
            <v>1.2280980937174226</v>
          </cell>
          <cell r="I661">
            <v>1.466454278833689</v>
          </cell>
        </row>
        <row r="662">
          <cell r="A662" t="str">
            <v>RHNM-SHNGAHP</v>
          </cell>
          <cell r="B662" t="str">
            <v>VAR_ncap</v>
          </cell>
          <cell r="C662" t="str">
            <v>-</v>
          </cell>
          <cell r="E662">
            <v>9.9028455575228707E-7</v>
          </cell>
          <cell r="F662">
            <v>1.6799068142618799E-2</v>
          </cell>
          <cell r="G662">
            <v>3.6812083483430298E-2</v>
          </cell>
          <cell r="H662">
            <v>4.4260014637565001E-2</v>
          </cell>
          <cell r="I662">
            <v>7.2321025622737303E-2</v>
          </cell>
        </row>
        <row r="663">
          <cell r="A663" t="str">
            <v>RHNM-SHNGAHP</v>
          </cell>
          <cell r="B663" t="str">
            <v>VAR_cap</v>
          </cell>
          <cell r="C663" t="str">
            <v>-</v>
          </cell>
          <cell r="E663">
            <v>9.9028455575228707E-7</v>
          </cell>
          <cell r="F663">
            <v>1.679994273693669E-2</v>
          </cell>
          <cell r="G663">
            <v>5.3611949797225306E-2</v>
          </cell>
          <cell r="H663">
            <v>9.5438568219466571E-2</v>
          </cell>
          <cell r="I663">
            <v>0.11419665362087622</v>
          </cell>
        </row>
        <row r="664">
          <cell r="A664" t="str">
            <v>D-SCOM_KEV_WOD_ELC_CHP</v>
          </cell>
          <cell r="B664" t="str">
            <v>VAR_fout</v>
          </cell>
          <cell r="C664" t="str">
            <v>ELC5</v>
          </cell>
          <cell r="G664">
            <v>5.8351475509021706E-4</v>
          </cell>
          <cell r="H664">
            <v>5.7373867341048944E-4</v>
          </cell>
          <cell r="I664">
            <v>1.49535413411178E-4</v>
          </cell>
        </row>
        <row r="665">
          <cell r="A665" t="str">
            <v>D-SCOM_KEV_WOD_ELC_CHP</v>
          </cell>
          <cell r="B665" t="str">
            <v>VAR_fout</v>
          </cell>
          <cell r="C665" t="str">
            <v>SCOM_ELC</v>
          </cell>
          <cell r="G665">
            <v>2.280902770821909E-4</v>
          </cell>
          <cell r="H665">
            <v>5.7351057474128706E-4</v>
          </cell>
          <cell r="I665">
            <v>1.4943202988605748E-4</v>
          </cell>
        </row>
        <row r="666">
          <cell r="A666" t="str">
            <v>D-SCOM_KEV_WOD_ELC_CHP</v>
          </cell>
          <cell r="B666" t="str">
            <v>VAR_fin</v>
          </cell>
          <cell r="C666" t="str">
            <v>SCOM_KEV_WOD_ELC_CHP</v>
          </cell>
          <cell r="G666">
            <v>8.1082663755837529E-4</v>
          </cell>
          <cell r="H666">
            <v>1.1396390971490126E-3</v>
          </cell>
          <cell r="I666">
            <v>2.9076186674575525E-4</v>
          </cell>
        </row>
        <row r="667">
          <cell r="A667" t="str">
            <v>RHES-SHCONBR5</v>
          </cell>
          <cell r="B667" t="str">
            <v>VAR_fout</v>
          </cell>
          <cell r="C667" t="str">
            <v>RHES-SHCON</v>
          </cell>
          <cell r="E667">
            <v>2.0732713743605679E-3</v>
          </cell>
          <cell r="F667">
            <v>1.0297064050816193E-3</v>
          </cell>
          <cell r="G667">
            <v>1.9704247731620762E-3</v>
          </cell>
          <cell r="H667">
            <v>1.9057887238816433E-3</v>
          </cell>
          <cell r="I667">
            <v>1.1434502080692132E-3</v>
          </cell>
        </row>
        <row r="668">
          <cell r="A668" t="str">
            <v>RHES-SHCONBR5</v>
          </cell>
          <cell r="B668" t="str">
            <v>VAR_fin</v>
          </cell>
          <cell r="C668" t="str">
            <v>CON</v>
          </cell>
          <cell r="E668">
            <v>2.0732713743605679E-3</v>
          </cell>
          <cell r="F668">
            <v>1.0297064050816193E-3</v>
          </cell>
          <cell r="G668">
            <v>1.9704247731620762E-3</v>
          </cell>
          <cell r="H668">
            <v>1.9057887238816433E-3</v>
          </cell>
          <cell r="I668">
            <v>1.1434502080692132E-3</v>
          </cell>
        </row>
        <row r="669">
          <cell r="A669" t="str">
            <v>RHES-SHCONBR5</v>
          </cell>
          <cell r="B669" t="str">
            <v>VAR_ncap</v>
          </cell>
          <cell r="C669" t="str">
            <v>-</v>
          </cell>
          <cell r="E669">
            <v>1.67987458274538E-4</v>
          </cell>
          <cell r="F669">
            <v>4.53906848567385E-8</v>
          </cell>
          <cell r="G669">
            <v>6.0163389274253706E-8</v>
          </cell>
          <cell r="H669">
            <v>1.29319149308841E-7</v>
          </cell>
          <cell r="I669">
            <v>2.4381977810536101E-7</v>
          </cell>
        </row>
        <row r="670">
          <cell r="A670" t="str">
            <v>RHES-SHCONBR5</v>
          </cell>
          <cell r="B670" t="str">
            <v>VAR_cap</v>
          </cell>
          <cell r="C670" t="str">
            <v>-</v>
          </cell>
          <cell r="E670">
            <v>1.67987458274538E-4</v>
          </cell>
          <cell r="F670">
            <v>1.6792274281911325E-4</v>
          </cell>
          <cell r="G670">
            <v>1.680131208622827E-4</v>
          </cell>
          <cell r="H670">
            <v>1.6814335640926947E-4</v>
          </cell>
          <cell r="I670">
            <v>9.7571502153632767E-5</v>
          </cell>
        </row>
        <row r="671">
          <cell r="A671" t="str">
            <v>RHNS-SHCONBR</v>
          </cell>
          <cell r="B671" t="str">
            <v>VAR_fout</v>
          </cell>
          <cell r="C671" t="str">
            <v>RHNS-SHCON</v>
          </cell>
          <cell r="F671">
            <v>1.243599994828836E-3</v>
          </cell>
          <cell r="G671">
            <v>1.2514092956046319E-3</v>
          </cell>
          <cell r="H671">
            <v>3.8340878887631359E-3</v>
          </cell>
          <cell r="I671">
            <v>9.6354629255167128E-3</v>
          </cell>
        </row>
        <row r="672">
          <cell r="A672" t="str">
            <v>RHNS-SHCONBR</v>
          </cell>
          <cell r="B672" t="str">
            <v>VAR_fin</v>
          </cell>
          <cell r="C672" t="str">
            <v>CON</v>
          </cell>
          <cell r="F672">
            <v>1.243599994828836E-3</v>
          </cell>
          <cell r="G672">
            <v>1.2514092956046319E-3</v>
          </cell>
          <cell r="H672">
            <v>3.8340878887631359E-3</v>
          </cell>
          <cell r="I672">
            <v>9.6354629255167128E-3</v>
          </cell>
        </row>
        <row r="673">
          <cell r="A673" t="str">
            <v>RHNS-SHCONBR</v>
          </cell>
          <cell r="B673" t="str">
            <v>VAR_ncap</v>
          </cell>
          <cell r="C673" t="str">
            <v>-</v>
          </cell>
          <cell r="E673">
            <v>3.3419669179117201E-8</v>
          </cell>
          <cell r="F673">
            <v>9.4112947774094405E-5</v>
          </cell>
          <cell r="G673">
            <v>1.97588859236561E-7</v>
          </cell>
          <cell r="H673">
            <v>1.6242936155600601E-4</v>
          </cell>
          <cell r="I673">
            <v>4.2125612655514902E-4</v>
          </cell>
        </row>
        <row r="674">
          <cell r="A674" t="str">
            <v>RHNS-SHCONBR</v>
          </cell>
          <cell r="B674" t="str">
            <v>VAR_cap</v>
          </cell>
          <cell r="C674" t="str">
            <v>-</v>
          </cell>
          <cell r="E674">
            <v>3.3419669179117201E-8</v>
          </cell>
          <cell r="F674">
            <v>9.4127725449354589E-5</v>
          </cell>
          <cell r="G674">
            <v>9.43081897568375E-5</v>
          </cell>
          <cell r="H674">
            <v>2.8265432864098191E-4</v>
          </cell>
          <cell r="I674">
            <v>7.0400206346200801E-4</v>
          </cell>
        </row>
        <row r="675">
          <cell r="A675" t="str">
            <v>D-RHEM_SOLELC</v>
          </cell>
          <cell r="B675" t="str">
            <v>VAR_fout</v>
          </cell>
          <cell r="C675" t="str">
            <v>ELC5</v>
          </cell>
          <cell r="D675">
            <v>0.44236538976222833</v>
          </cell>
          <cell r="E675">
            <v>0.67339051755689538</v>
          </cell>
          <cell r="F675">
            <v>1.1245040726256765</v>
          </cell>
          <cell r="G675">
            <v>2.4373087153101047</v>
          </cell>
          <cell r="H675">
            <v>3.9242057333496154</v>
          </cell>
          <cell r="I675">
            <v>6.3107325626529969</v>
          </cell>
        </row>
        <row r="676">
          <cell r="A676" t="str">
            <v>D-RHEM_SOLELC</v>
          </cell>
          <cell r="B676" t="str">
            <v>VAR_fout</v>
          </cell>
          <cell r="C676" t="str">
            <v>RHEM_ELC</v>
          </cell>
          <cell r="D676">
            <v>0.42011783602361957</v>
          </cell>
          <cell r="E676">
            <v>0.61419316042014238</v>
          </cell>
          <cell r="F676">
            <v>0.97744945584207599</v>
          </cell>
          <cell r="G676">
            <v>2.1373696042100727</v>
          </cell>
          <cell r="H676">
            <v>4.0105540929518373</v>
          </cell>
          <cell r="I676">
            <v>7.6266720765881653</v>
          </cell>
        </row>
        <row r="677">
          <cell r="A677" t="str">
            <v>D-RHEM_SOLELC</v>
          </cell>
          <cell r="B677" t="str">
            <v>VAR_fin</v>
          </cell>
          <cell r="C677" t="str">
            <v>RHEM_SOL_ELC</v>
          </cell>
          <cell r="D677">
            <v>0.86248322578584768</v>
          </cell>
          <cell r="E677">
            <v>1.2875826965630355</v>
          </cell>
          <cell r="F677">
            <v>2.1019510072440122</v>
          </cell>
          <cell r="G677">
            <v>4.5746753370255782</v>
          </cell>
          <cell r="H677">
            <v>7.9347554155236271</v>
          </cell>
          <cell r="I677">
            <v>13.937400644837869</v>
          </cell>
        </row>
        <row r="678">
          <cell r="A678" t="str">
            <v>ITOT-SWHCONBR7</v>
          </cell>
          <cell r="B678" t="str">
            <v>VAR_fout</v>
          </cell>
          <cell r="C678" t="str">
            <v>ITOT-ELS</v>
          </cell>
          <cell r="E678">
            <v>0.13195428301297257</v>
          </cell>
          <cell r="F678">
            <v>0.13193359734427754</v>
          </cell>
          <cell r="G678">
            <v>0.13193829400967563</v>
          </cell>
          <cell r="H678">
            <v>9.5796189505003367E-4</v>
          </cell>
          <cell r="I678">
            <v>8.3412404749714098E-4</v>
          </cell>
        </row>
        <row r="679">
          <cell r="A679" t="str">
            <v>ITOT-SWHCONBR7</v>
          </cell>
          <cell r="B679" t="str">
            <v>VAR_fout</v>
          </cell>
          <cell r="C679" t="str">
            <v>ITOT-SWHC</v>
          </cell>
          <cell r="E679">
            <v>2.30098779284575E-2</v>
          </cell>
          <cell r="F679">
            <v>2.3006270810138379E-2</v>
          </cell>
          <cell r="G679">
            <v>2.3007089803618624E-2</v>
          </cell>
          <cell r="H679">
            <v>1.6704714513168196E-4</v>
          </cell>
          <cell r="I679">
            <v>1.4545259215430816E-4</v>
          </cell>
        </row>
        <row r="680">
          <cell r="A680" t="str">
            <v>ITOT-SWHCONBR7</v>
          </cell>
          <cell r="B680" t="str">
            <v>VAR_fin</v>
          </cell>
          <cell r="C680" t="str">
            <v>CON</v>
          </cell>
          <cell r="E680">
            <v>0.15496416094143006</v>
          </cell>
          <cell r="F680">
            <v>0.15493986815441596</v>
          </cell>
          <cell r="G680">
            <v>0.15494538381329417</v>
          </cell>
          <cell r="H680">
            <v>1.1250090401817147E-3</v>
          </cell>
          <cell r="I680">
            <v>9.7957663965144879E-4</v>
          </cell>
        </row>
        <row r="681">
          <cell r="A681" t="str">
            <v>ITOT-SWHCONBR7</v>
          </cell>
          <cell r="B681" t="str">
            <v>VAR_ncap</v>
          </cell>
          <cell r="C681" t="str">
            <v>-</v>
          </cell>
          <cell r="E681">
            <v>8.4282150959935596E-3</v>
          </cell>
          <cell r="F681">
            <v>4.3698498191787098E-8</v>
          </cell>
          <cell r="G681">
            <v>2.64312658082321E-8</v>
          </cell>
          <cell r="H681">
            <v>6.02837527981219E-5</v>
          </cell>
          <cell r="I681">
            <v>9.1065665859665904E-6</v>
          </cell>
        </row>
        <row r="682">
          <cell r="A682" t="str">
            <v>ITOT-SWHCONBR7</v>
          </cell>
          <cell r="B682" t="str">
            <v>VAR_cap</v>
          </cell>
          <cell r="C682" t="str">
            <v>-</v>
          </cell>
          <cell r="E682">
            <v>8.4282150959935596E-3</v>
          </cell>
          <cell r="F682">
            <v>8.4282587944917598E-3</v>
          </cell>
          <cell r="G682">
            <v>8.4282852257575609E-3</v>
          </cell>
          <cell r="H682">
            <v>6.0677934726356302E-5</v>
          </cell>
          <cell r="I682">
            <v>5.3012333840400101E-5</v>
          </cell>
        </row>
        <row r="683">
          <cell r="A683" t="str">
            <v>RHNS-SHSTG-ELCHP</v>
          </cell>
          <cell r="B683" t="str">
            <v>VAR_fout</v>
          </cell>
          <cell r="C683" t="str">
            <v>RHNS-SHAELCH</v>
          </cell>
          <cell r="E683">
            <v>1.3332724725464092E-2</v>
          </cell>
          <cell r="F683">
            <v>0.13695820748201912</v>
          </cell>
          <cell r="G683">
            <v>0.21604671113660898</v>
          </cell>
          <cell r="H683">
            <v>0.31989833392624073</v>
          </cell>
          <cell r="I683">
            <v>0.49885941542054707</v>
          </cell>
        </row>
        <row r="684">
          <cell r="A684" t="str">
            <v>RHNS-SHSTG-ELCHP</v>
          </cell>
          <cell r="B684" t="str">
            <v>VAR_fin</v>
          </cell>
          <cell r="C684" t="str">
            <v>RHNS-SHAELCH</v>
          </cell>
          <cell r="E684">
            <v>1.3332670319346721E-2</v>
          </cell>
          <cell r="F684">
            <v>0.13696315769366987</v>
          </cell>
          <cell r="G684">
            <v>0.21605408216037192</v>
          </cell>
          <cell r="H684">
            <v>0.31991569532230474</v>
          </cell>
          <cell r="I684">
            <v>0.49887787201185069</v>
          </cell>
        </row>
        <row r="685">
          <cell r="A685" t="str">
            <v>RHNS-SHSTG-ELCHP</v>
          </cell>
          <cell r="B685" t="str">
            <v>VAR_ncap</v>
          </cell>
          <cell r="C685" t="str">
            <v>-</v>
          </cell>
          <cell r="D685">
            <v>5.65629537615668E-5</v>
          </cell>
          <cell r="E685">
            <v>1.7350096143463299E-3</v>
          </cell>
          <cell r="F685">
            <v>1.09854461101913E-2</v>
          </cell>
          <cell r="G685">
            <v>7.3201691948278002E-3</v>
          </cell>
          <cell r="H685">
            <v>1.7712529902564899E-2</v>
          </cell>
          <cell r="I685">
            <v>2.44193745484418E-2</v>
          </cell>
        </row>
        <row r="686">
          <cell r="A686" t="str">
            <v>RHNS-SHSTG-ELCHP</v>
          </cell>
          <cell r="B686" t="str">
            <v>VAR_cap</v>
          </cell>
          <cell r="C686" t="str">
            <v>-</v>
          </cell>
          <cell r="D686">
            <v>5.65629537615668E-5</v>
          </cell>
          <cell r="E686">
            <v>1.7856841731717834E-3</v>
          </cell>
          <cell r="F686">
            <v>1.2758276567512781E-2</v>
          </cell>
          <cell r="G686">
            <v>2.0058894498433885E-2</v>
          </cell>
          <cell r="H686">
            <v>3.2066203256254124E-2</v>
          </cell>
          <cell r="I686">
            <v>4.0394410936634408E-2</v>
          </cell>
        </row>
        <row r="687">
          <cell r="A687" t="str">
            <v>RHNS-SHSOLBR</v>
          </cell>
          <cell r="B687" t="str">
            <v>VAR_fout</v>
          </cell>
          <cell r="C687" t="str">
            <v>RHNS-SHASOL</v>
          </cell>
          <cell r="E687">
            <v>1.3401613052553205E-2</v>
          </cell>
          <cell r="F687">
            <v>1.2403583507114888E-4</v>
          </cell>
          <cell r="G687">
            <v>4.3019780380550507E-4</v>
          </cell>
          <cell r="H687">
            <v>4.6372501748264978E-4</v>
          </cell>
          <cell r="I687">
            <v>8.2163429173391688E-4</v>
          </cell>
        </row>
        <row r="688">
          <cell r="A688" t="str">
            <v>RHNS-SHSOLBR</v>
          </cell>
          <cell r="B688" t="str">
            <v>VAR_fin</v>
          </cell>
          <cell r="C688" t="str">
            <v>SOL</v>
          </cell>
          <cell r="E688">
            <v>1.3401613052553205E-2</v>
          </cell>
          <cell r="F688">
            <v>1.2403583507114888E-4</v>
          </cell>
          <cell r="G688">
            <v>4.3019780380550507E-4</v>
          </cell>
          <cell r="H688">
            <v>4.6372501748264978E-4</v>
          </cell>
          <cell r="I688">
            <v>8.2163429173391688E-4</v>
          </cell>
        </row>
        <row r="689">
          <cell r="A689" t="str">
            <v>RHNS-SHSOLBR</v>
          </cell>
          <cell r="B689" t="str">
            <v>VAR_ncap</v>
          </cell>
          <cell r="C689" t="str">
            <v>-</v>
          </cell>
          <cell r="E689">
            <v>2.0887260187728999E-3</v>
          </cell>
          <cell r="F689">
            <v>1.0690298002066E-6</v>
          </cell>
          <cell r="G689">
            <v>1.6035962437310699E-6</v>
          </cell>
          <cell r="H689">
            <v>3.0703409310604401E-4</v>
          </cell>
          <cell r="I689">
            <v>7.4648643166590496E-5</v>
          </cell>
        </row>
        <row r="690">
          <cell r="A690" t="str">
            <v>RHNS-SHSOLBR</v>
          </cell>
          <cell r="B690" t="str">
            <v>VAR_cap</v>
          </cell>
          <cell r="C690" t="str">
            <v>-</v>
          </cell>
          <cell r="E690">
            <v>2.0887260187728999E-3</v>
          </cell>
          <cell r="F690">
            <v>2.0872367492150599E-3</v>
          </cell>
          <cell r="G690">
            <v>2.088378081595199E-3</v>
          </cell>
          <cell r="H690">
            <v>3.1530108140711785E-4</v>
          </cell>
          <cell r="I690">
            <v>3.0016278451975279E-4</v>
          </cell>
        </row>
        <row r="691">
          <cell r="A691" t="str">
            <v>RHES-SHPLTBR</v>
          </cell>
          <cell r="B691" t="str">
            <v>VAR_fout</v>
          </cell>
          <cell r="C691" t="str">
            <v>RHES-SHPLT</v>
          </cell>
          <cell r="D691">
            <v>1.2957577819131649</v>
          </cell>
          <cell r="E691">
            <v>1.4868844469361575</v>
          </cell>
          <cell r="F691">
            <v>4.0432163967387746E-2</v>
          </cell>
          <cell r="G691">
            <v>5.4513909733831613E-2</v>
          </cell>
          <cell r="H691">
            <v>6.2876958663028823E-2</v>
          </cell>
          <cell r="I691">
            <v>5.6337490393335389E-2</v>
          </cell>
        </row>
        <row r="692">
          <cell r="A692" t="str">
            <v>RHES-SHPLTBR</v>
          </cell>
          <cell r="B692" t="str">
            <v>VAR_fin</v>
          </cell>
          <cell r="C692" t="str">
            <v>RPLT</v>
          </cell>
          <cell r="D692">
            <v>1.4397308687924049</v>
          </cell>
          <cell r="E692">
            <v>1.6520938299290637</v>
          </cell>
          <cell r="F692">
            <v>5.5617101734005407E-2</v>
          </cell>
          <cell r="G692">
            <v>7.3846832025622228E-2</v>
          </cell>
          <cell r="H692">
            <v>8.3845007806912494E-2</v>
          </cell>
          <cell r="I692">
            <v>7.3475761293944244E-2</v>
          </cell>
        </row>
        <row r="693">
          <cell r="A693" t="str">
            <v>RHES-SHPLTBR</v>
          </cell>
          <cell r="B693" t="str">
            <v>VAR_ncap</v>
          </cell>
          <cell r="C693" t="str">
            <v>-</v>
          </cell>
          <cell r="E693">
            <v>1.5448236342937601E-2</v>
          </cell>
          <cell r="F693">
            <v>6.5152586669424599E-8</v>
          </cell>
          <cell r="G693">
            <v>5.6523041542155698E-7</v>
          </cell>
          <cell r="H693">
            <v>4.0192098417833897E-3</v>
          </cell>
          <cell r="I693">
            <v>1.1938534584075499E-3</v>
          </cell>
        </row>
        <row r="694">
          <cell r="A694" t="str">
            <v>RHES-SHPLTBR</v>
          </cell>
          <cell r="B694" t="str">
            <v>VAR_cap</v>
          </cell>
          <cell r="C694" t="str">
            <v>-</v>
          </cell>
          <cell r="D694">
            <v>0.104681131456585</v>
          </cell>
          <cell r="E694">
            <v>0.12012933132102972</v>
          </cell>
          <cell r="F694">
            <v>7.2048607085452021E-3</v>
          </cell>
          <cell r="G694">
            <v>7.2050830453347092E-3</v>
          </cell>
          <cell r="H694">
            <v>5.1032618873050918E-3</v>
          </cell>
          <cell r="I694">
            <v>4.5690312920780652E-3</v>
          </cell>
        </row>
        <row r="695">
          <cell r="A695" t="str">
            <v>RHES-SHCONBR6</v>
          </cell>
          <cell r="B695" t="str">
            <v>VAR_fout</v>
          </cell>
          <cell r="C695" t="str">
            <v>RHES-SHCON</v>
          </cell>
          <cell r="E695">
            <v>3.7857231492377871E-4</v>
          </cell>
          <cell r="F695">
            <v>1.9558635933312896E-4</v>
          </cell>
          <cell r="G695">
            <v>3.1547745130141447E-4</v>
          </cell>
          <cell r="H695">
            <v>2.9050389760976257E-4</v>
          </cell>
          <cell r="I695">
            <v>1.8748167503370176E-4</v>
          </cell>
        </row>
        <row r="696">
          <cell r="A696" t="str">
            <v>RHES-SHCONBR6</v>
          </cell>
          <cell r="B696" t="str">
            <v>VAR_fin</v>
          </cell>
          <cell r="C696" t="str">
            <v>CON</v>
          </cell>
          <cell r="E696">
            <v>3.7857231492377871E-4</v>
          </cell>
          <cell r="F696">
            <v>1.9558635933312896E-4</v>
          </cell>
          <cell r="G696">
            <v>3.1547745130141447E-4</v>
          </cell>
          <cell r="H696">
            <v>2.9050389760976257E-4</v>
          </cell>
          <cell r="I696">
            <v>1.8748167503370176E-4</v>
          </cell>
        </row>
        <row r="697">
          <cell r="A697" t="str">
            <v>RHES-SHCONBR6</v>
          </cell>
          <cell r="B697" t="str">
            <v>VAR_ncap</v>
          </cell>
          <cell r="C697" t="str">
            <v>-</v>
          </cell>
          <cell r="E697">
            <v>3.0841686494310703E-5</v>
          </cell>
          <cell r="F697">
            <v>4.0254776797799303E-8</v>
          </cell>
          <cell r="G697">
            <v>5.1234284673065898E-8</v>
          </cell>
          <cell r="H697">
            <v>7.8222349259712206E-8</v>
          </cell>
          <cell r="I697">
            <v>2.2712208297028899E-7</v>
          </cell>
        </row>
        <row r="698">
          <cell r="A698" t="str">
            <v>RHES-SHCONBR6</v>
          </cell>
          <cell r="B698" t="str">
            <v>VAR_cap</v>
          </cell>
          <cell r="C698" t="str">
            <v>-</v>
          </cell>
          <cell r="E698">
            <v>3.0841686494310703E-5</v>
          </cell>
          <cell r="F698">
            <v>3.0831670376100826E-5</v>
          </cell>
          <cell r="G698">
            <v>3.0875177964836984E-5</v>
          </cell>
          <cell r="H698">
            <v>3.0991787878877159E-5</v>
          </cell>
          <cell r="I698">
            <v>1.8250359404691829E-5</v>
          </cell>
        </row>
        <row r="699">
          <cell r="A699" t="str">
            <v>RHSA-WHPLTBR</v>
          </cell>
          <cell r="B699" t="str">
            <v>VAR_fout</v>
          </cell>
          <cell r="C699" t="str">
            <v>RHSA-WHPLT</v>
          </cell>
          <cell r="D699">
            <v>0.16979326799214609</v>
          </cell>
          <cell r="E699">
            <v>0.19483640428826504</v>
          </cell>
          <cell r="F699">
            <v>7.7933867729235176E-2</v>
          </cell>
          <cell r="G699">
            <v>0.13052812650255879</v>
          </cell>
          <cell r="H699">
            <v>0.18338871083485847</v>
          </cell>
          <cell r="I699">
            <v>0.18808550430997678</v>
          </cell>
        </row>
        <row r="700">
          <cell r="A700" t="str">
            <v>RHSA-WHPLTBR</v>
          </cell>
          <cell r="B700" t="str">
            <v>VAR_fin</v>
          </cell>
          <cell r="C700" t="str">
            <v>RPLT</v>
          </cell>
          <cell r="D700">
            <v>0.2716692287874336</v>
          </cell>
          <cell r="E700">
            <v>0.31173824686122459</v>
          </cell>
          <cell r="F700">
            <v>0.17161056531964716</v>
          </cell>
          <cell r="G700">
            <v>0.27959873817924014</v>
          </cell>
          <cell r="H700">
            <v>0.37832524587533412</v>
          </cell>
          <cell r="I700">
            <v>0.37554267645379608</v>
          </cell>
        </row>
        <row r="701">
          <cell r="A701" t="str">
            <v>RHSA-WHPLTBR</v>
          </cell>
          <cell r="B701" t="str">
            <v>VAR_ncap</v>
          </cell>
          <cell r="C701" t="str">
            <v>-</v>
          </cell>
          <cell r="E701">
            <v>1.9551043658549501E-3</v>
          </cell>
          <cell r="F701">
            <v>2.1157685844510899E-7</v>
          </cell>
          <cell r="G701">
            <v>1.4161768043755501E-6</v>
          </cell>
          <cell r="H701">
            <v>5.4642538460269998E-3</v>
          </cell>
          <cell r="I701">
            <v>6.3184179408017497E-3</v>
          </cell>
        </row>
        <row r="702">
          <cell r="A702" t="str">
            <v>RHSA-WHPLTBR</v>
          </cell>
          <cell r="B702" t="str">
            <v>VAR_cap</v>
          </cell>
          <cell r="C702" t="str">
            <v>-</v>
          </cell>
          <cell r="D702">
            <v>1.12410901121583E-2</v>
          </cell>
          <cell r="E702">
            <v>1.3196131920717542E-2</v>
          </cell>
          <cell r="F702">
            <v>1.1342054496175041E-2</v>
          </cell>
          <cell r="G702">
            <v>1.13422475214232E-2</v>
          </cell>
          <cell r="H702">
            <v>1.2564828987166139E-2</v>
          </cell>
          <cell r="I702">
            <v>1.3286964168227571E-2</v>
          </cell>
        </row>
        <row r="703">
          <cell r="A703" t="str">
            <v>ITOT-SWHCONBR8</v>
          </cell>
          <cell r="B703" t="str">
            <v>VAR_fout</v>
          </cell>
          <cell r="C703" t="str">
            <v>ITOT-ELS</v>
          </cell>
          <cell r="E703">
            <v>1.2059308849367513E-4</v>
          </cell>
          <cell r="F703">
            <v>1.2118976216161516E-4</v>
          </cell>
          <cell r="G703">
            <v>1.2086978419085593E-4</v>
          </cell>
          <cell r="H703">
            <v>1.1153522246726978E-4</v>
          </cell>
          <cell r="I703">
            <v>7.8667295304201743E-5</v>
          </cell>
        </row>
        <row r="704">
          <cell r="A704" t="str">
            <v>ITOT-SWHCONBR8</v>
          </cell>
          <cell r="B704" t="str">
            <v>VAR_fout</v>
          </cell>
          <cell r="C704" t="str">
            <v>ITOT-SWHC</v>
          </cell>
          <cell r="E704">
            <v>4.6561241500516892E-4</v>
          </cell>
          <cell r="F704">
            <v>4.6791618440828906E-4</v>
          </cell>
          <cell r="G704">
            <v>4.6668074282888708E-4</v>
          </cell>
          <cell r="H704">
            <v>4.3063980647487936E-4</v>
          </cell>
          <cell r="I704">
            <v>3.0373605822721144E-4</v>
          </cell>
        </row>
        <row r="705">
          <cell r="A705" t="str">
            <v>ITOT-SWHCONBR8</v>
          </cell>
          <cell r="B705" t="str">
            <v>VAR_fin</v>
          </cell>
          <cell r="C705" t="str">
            <v>CON</v>
          </cell>
          <cell r="E705">
            <v>5.8620550349884409E-4</v>
          </cell>
          <cell r="F705">
            <v>5.8910594656990463E-4</v>
          </cell>
          <cell r="G705">
            <v>5.8755052701974235E-4</v>
          </cell>
          <cell r="H705">
            <v>5.4217502894214891E-4</v>
          </cell>
          <cell r="I705">
            <v>3.8240335353141304E-4</v>
          </cell>
        </row>
        <row r="706">
          <cell r="A706" t="str">
            <v>ITOT-SWHCONBR8</v>
          </cell>
          <cell r="B706" t="str">
            <v>VAR_ncap</v>
          </cell>
          <cell r="C706" t="str">
            <v>-</v>
          </cell>
          <cell r="E706">
            <v>3.1305785801393301E-5</v>
          </cell>
          <cell r="F706">
            <v>1.5301463038529301E-7</v>
          </cell>
          <cell r="G706">
            <v>1.5785388230630101E-7</v>
          </cell>
          <cell r="H706">
            <v>1.6364385262959499E-5</v>
          </cell>
          <cell r="I706">
            <v>3.3892398268282199E-6</v>
          </cell>
        </row>
        <row r="707">
          <cell r="A707" t="str">
            <v>ITOT-SWHCONBR8</v>
          </cell>
          <cell r="B707" t="str">
            <v>VAR_cap</v>
          </cell>
          <cell r="C707" t="str">
            <v>-</v>
          </cell>
          <cell r="E707">
            <v>3.1305785801393301E-5</v>
          </cell>
          <cell r="F707">
            <v>3.14588004317786E-5</v>
          </cell>
          <cell r="G707">
            <v>3.1616654314084898E-5</v>
          </cell>
          <cell r="H707">
            <v>2.9050469458016099E-5</v>
          </cell>
          <cell r="I707">
            <v>2.05745005493404E-5</v>
          </cell>
        </row>
        <row r="708">
          <cell r="A708" t="str">
            <v>D-SCOM_KEV_HFC_ELC_CHP</v>
          </cell>
          <cell r="B708" t="str">
            <v>VAR_fout</v>
          </cell>
          <cell r="C708" t="str">
            <v>ELC5</v>
          </cell>
          <cell r="G708">
            <v>6.2201008337310626E-4</v>
          </cell>
          <cell r="H708">
            <v>6.6182574216491058E-4</v>
          </cell>
          <cell r="I708">
            <v>4.2647222684483855E-4</v>
          </cell>
        </row>
        <row r="709">
          <cell r="A709" t="str">
            <v>D-SCOM_KEV_HFC_ELC_CHP</v>
          </cell>
          <cell r="B709" t="str">
            <v>VAR_fout</v>
          </cell>
          <cell r="C709" t="str">
            <v>SCOM_ELC</v>
          </cell>
          <cell r="G709">
            <v>6.2349422825957155E-4</v>
          </cell>
          <cell r="H709">
            <v>6.6170652881275788E-4</v>
          </cell>
          <cell r="I709">
            <v>4.2623654050240778E-4</v>
          </cell>
        </row>
        <row r="710">
          <cell r="A710" t="str">
            <v>D-SCOM_KEV_HFC_ELC_CHP</v>
          </cell>
          <cell r="B710" t="str">
            <v>VAR_fin</v>
          </cell>
          <cell r="C710" t="str">
            <v>SCOM_KEV_HFC_ELC_CHP</v>
          </cell>
          <cell r="G710">
            <v>1.2400913224802576E-3</v>
          </cell>
          <cell r="H710">
            <v>1.3185933213621496E-3</v>
          </cell>
          <cell r="I710">
            <v>8.4380336367481559E-4</v>
          </cell>
        </row>
        <row r="711">
          <cell r="A711" t="str">
            <v>D-EH2R</v>
          </cell>
          <cell r="B711" t="str">
            <v>VAR_fout</v>
          </cell>
          <cell r="C711" t="str">
            <v>EH2</v>
          </cell>
          <cell r="H711">
            <v>3.9074735008305817E-3</v>
          </cell>
          <cell r="I711">
            <v>2.7081887569396167E-3</v>
          </cell>
        </row>
        <row r="712">
          <cell r="A712" t="str">
            <v>D-EH2R</v>
          </cell>
          <cell r="B712" t="str">
            <v>VAR_fin</v>
          </cell>
          <cell r="C712" t="str">
            <v>H2</v>
          </cell>
          <cell r="H712">
            <v>3.9074735008305817E-3</v>
          </cell>
          <cell r="I712">
            <v>2.7081887569396167E-3</v>
          </cell>
        </row>
        <row r="713">
          <cell r="A713" t="str">
            <v>D-EH2R</v>
          </cell>
          <cell r="B713" t="str">
            <v>VAR_ncap</v>
          </cell>
          <cell r="C713" t="str">
            <v>-</v>
          </cell>
          <cell r="H713">
            <v>4.39250052712378E-4</v>
          </cell>
          <cell r="I713">
            <v>1.4070185953045299E-4</v>
          </cell>
        </row>
        <row r="714">
          <cell r="A714" t="str">
            <v>D-EH2R</v>
          </cell>
          <cell r="B714" t="str">
            <v>VAR_cap</v>
          </cell>
          <cell r="C714" t="str">
            <v>-</v>
          </cell>
          <cell r="H714">
            <v>4.3942091487631201E-4</v>
          </cell>
          <cell r="I714">
            <v>2.9115433521801498E-4</v>
          </cell>
        </row>
        <row r="715">
          <cell r="A715" t="str">
            <v>SCOM-ELCSPECADV</v>
          </cell>
          <cell r="B715" t="str">
            <v>VAR_fout</v>
          </cell>
          <cell r="C715" t="str">
            <v>SCOM-ELS</v>
          </cell>
          <cell r="F715">
            <v>5.9556776061488579</v>
          </cell>
          <cell r="G715">
            <v>11.730442974836416</v>
          </cell>
          <cell r="H715">
            <v>18.217289904981474</v>
          </cell>
          <cell r="I715">
            <v>22.049338107544688</v>
          </cell>
        </row>
        <row r="716">
          <cell r="A716" t="str">
            <v>SCOM-ELCSPECADV</v>
          </cell>
          <cell r="B716" t="str">
            <v>VAR_fin</v>
          </cell>
          <cell r="C716" t="str">
            <v>SCOM_ELC</v>
          </cell>
          <cell r="F716">
            <v>3.9704517374325712</v>
          </cell>
          <cell r="G716">
            <v>7.8202953165576128</v>
          </cell>
          <cell r="H716">
            <v>12.14485993665431</v>
          </cell>
          <cell r="I716">
            <v>14.699558738363129</v>
          </cell>
        </row>
        <row r="717">
          <cell r="A717" t="str">
            <v>SCOM-ELCSPECADV</v>
          </cell>
          <cell r="B717" t="str">
            <v>VAR_ncap</v>
          </cell>
          <cell r="C717" t="str">
            <v>-</v>
          </cell>
          <cell r="F717">
            <v>0.62951099931386301</v>
          </cell>
          <cell r="G717">
            <v>0.61038862576620101</v>
          </cell>
          <cell r="H717">
            <v>0.32628401618227298</v>
          </cell>
          <cell r="I717">
            <v>0.98018563616824195</v>
          </cell>
        </row>
        <row r="718">
          <cell r="A718" t="str">
            <v>SCOM-ELCSPECADV</v>
          </cell>
          <cell r="B718" t="str">
            <v>VAR_cap</v>
          </cell>
          <cell r="C718" t="str">
            <v>-</v>
          </cell>
          <cell r="F718">
            <v>0.62951099931386301</v>
          </cell>
          <cell r="G718">
            <v>1.2398995684737819</v>
          </cell>
          <cell r="H718">
            <v>1.9255548670035743</v>
          </cell>
          <cell r="I718">
            <v>2.3305997097759654</v>
          </cell>
        </row>
        <row r="719">
          <cell r="A719" t="str">
            <v>RHSA-WHLTHRD</v>
          </cell>
          <cell r="B719" t="str">
            <v>VAR_fout</v>
          </cell>
          <cell r="C719" t="str">
            <v>RHSA-WHLTHRD</v>
          </cell>
          <cell r="D719">
            <v>1.3170483150791767</v>
          </cell>
          <cell r="E719">
            <v>1.4633771910949893</v>
          </cell>
          <cell r="F719">
            <v>1.0130419873950005</v>
          </cell>
          <cell r="G719">
            <v>1.5292772372595298</v>
          </cell>
          <cell r="H719">
            <v>1.9512862106038686</v>
          </cell>
          <cell r="I719">
            <v>2.1166416686004523</v>
          </cell>
        </row>
        <row r="720">
          <cell r="A720" t="str">
            <v>RHSA-WHLTHRD</v>
          </cell>
          <cell r="B720" t="str">
            <v>VAR_fin</v>
          </cell>
          <cell r="C720" t="str">
            <v>RHSA_LTH</v>
          </cell>
          <cell r="D720">
            <v>1.710452357245684</v>
          </cell>
          <cell r="E720">
            <v>1.8955663097085376</v>
          </cell>
          <cell r="F720">
            <v>1.8646391323563494</v>
          </cell>
          <cell r="G720">
            <v>2.7348267379559266</v>
          </cell>
          <cell r="H720">
            <v>3.4007257024355013</v>
          </cell>
          <cell r="I720">
            <v>3.6038643158048314</v>
          </cell>
        </row>
        <row r="721">
          <cell r="A721" t="str">
            <v>RHSA-WHLTHRD</v>
          </cell>
          <cell r="B721" t="str">
            <v>VAR_ncap</v>
          </cell>
          <cell r="C721" t="str">
            <v>-</v>
          </cell>
          <cell r="E721">
            <v>3.7892813791979001E-2</v>
          </cell>
          <cell r="F721">
            <v>2.3342250050659E-2</v>
          </cell>
          <cell r="G721">
            <v>3.7931179011560803E-2</v>
          </cell>
          <cell r="H721">
            <v>5.2539736955804398E-2</v>
          </cell>
          <cell r="I721">
            <v>8.4883830263138102E-2</v>
          </cell>
        </row>
        <row r="722">
          <cell r="A722" t="str">
            <v>RHSA-WHLTHRD</v>
          </cell>
          <cell r="B722" t="str">
            <v>VAR_cap</v>
          </cell>
          <cell r="C722" t="str">
            <v>-</v>
          </cell>
          <cell r="D722">
            <v>0.13737412127568699</v>
          </cell>
          <cell r="E722">
            <v>0.15984685554259731</v>
          </cell>
          <cell r="F722">
            <v>0.10925409292544808</v>
          </cell>
          <cell r="G722">
            <v>0.12971112128445678</v>
          </cell>
          <cell r="H722">
            <v>0.20210599731506798</v>
          </cell>
          <cell r="I722">
            <v>0.25091869407231399</v>
          </cell>
        </row>
        <row r="723">
          <cell r="A723" t="str">
            <v>RHES-SHCONBR7</v>
          </cell>
          <cell r="B723" t="str">
            <v>VAR_fout</v>
          </cell>
          <cell r="C723" t="str">
            <v>RHES-SHCON</v>
          </cell>
          <cell r="E723">
            <v>3.6088868010004862E-4</v>
          </cell>
          <cell r="F723">
            <v>1.8681214411599592E-4</v>
          </cell>
          <cell r="G723">
            <v>2.9899625558823774E-4</v>
          </cell>
          <cell r="H723">
            <v>2.7513622893694161E-4</v>
          </cell>
          <cell r="I723">
            <v>1.7790713956220296E-4</v>
          </cell>
        </row>
        <row r="724">
          <cell r="A724" t="str">
            <v>RHES-SHCONBR7</v>
          </cell>
          <cell r="B724" t="str">
            <v>VAR_fin</v>
          </cell>
          <cell r="C724" t="str">
            <v>CON</v>
          </cell>
          <cell r="E724">
            <v>3.6088868010004862E-4</v>
          </cell>
          <cell r="F724">
            <v>1.8681214411599592E-4</v>
          </cell>
          <cell r="G724">
            <v>2.9899625558823774E-4</v>
          </cell>
          <cell r="H724">
            <v>2.7513622893694161E-4</v>
          </cell>
          <cell r="I724">
            <v>1.7790713956220296E-4</v>
          </cell>
        </row>
        <row r="725">
          <cell r="A725" t="str">
            <v>RHES-SHCONBR7</v>
          </cell>
          <cell r="B725" t="str">
            <v>VAR_ncap</v>
          </cell>
          <cell r="C725" t="str">
            <v>-</v>
          </cell>
          <cell r="E725">
            <v>2.9410598648404501E-5</v>
          </cell>
          <cell r="F725">
            <v>4.0213932435999202E-8</v>
          </cell>
          <cell r="G725">
            <v>4.97572546728912E-8</v>
          </cell>
          <cell r="H725">
            <v>7.3749188472102695E-8</v>
          </cell>
          <cell r="I725">
            <v>2.1205058466813199E-7</v>
          </cell>
        </row>
        <row r="726">
          <cell r="A726" t="str">
            <v>RHES-SHCONBR7</v>
          </cell>
          <cell r="B726" t="str">
            <v>VAR_cap</v>
          </cell>
          <cell r="C726" t="str">
            <v>-</v>
          </cell>
          <cell r="E726">
            <v>2.9410598648404501E-5</v>
          </cell>
          <cell r="F726">
            <v>2.9402082826561386E-5</v>
          </cell>
          <cell r="G726">
            <v>2.944333364638717E-5</v>
          </cell>
          <cell r="H726">
            <v>2.9557715449919732E-5</v>
          </cell>
          <cell r="I726">
            <v>1.7404268580019812E-5</v>
          </cell>
        </row>
        <row r="727">
          <cell r="A727" t="str">
            <v>ITOT-SWHCONBR9</v>
          </cell>
          <cell r="B727" t="str">
            <v>VAR_fout</v>
          </cell>
          <cell r="C727" t="str">
            <v>ITOT-ELS</v>
          </cell>
          <cell r="E727">
            <v>2.5134418791170593E-5</v>
          </cell>
          <cell r="F727">
            <v>2.5386914115513648E-5</v>
          </cell>
          <cell r="G727">
            <v>2.5019843353547942E-5</v>
          </cell>
          <cell r="H727">
            <v>2.6893942747231583E-5</v>
          </cell>
          <cell r="I727">
            <v>1.7460040454541967E-5</v>
          </cell>
        </row>
        <row r="728">
          <cell r="A728" t="str">
            <v>ITOT-SWHCONBR9</v>
          </cell>
          <cell r="B728" t="str">
            <v>VAR_fout</v>
          </cell>
          <cell r="C728" t="str">
            <v>ITOT-SWHC</v>
          </cell>
          <cell r="E728">
            <v>1.458800168121882E-4</v>
          </cell>
          <cell r="F728">
            <v>1.4734549816929459E-4</v>
          </cell>
          <cell r="G728">
            <v>1.4521502165532678E-4</v>
          </cell>
          <cell r="H728">
            <v>1.5609228336285909E-4</v>
          </cell>
          <cell r="I728">
            <v>1.0153730353079079E-4</v>
          </cell>
        </row>
        <row r="729">
          <cell r="A729" t="str">
            <v>ITOT-SWHCONBR9</v>
          </cell>
          <cell r="B729" t="str">
            <v>VAR_fin</v>
          </cell>
          <cell r="C729" t="str">
            <v>CON</v>
          </cell>
          <cell r="E729">
            <v>1.7101443560335876E-4</v>
          </cell>
          <cell r="F729">
            <v>1.727324122848083E-4</v>
          </cell>
          <cell r="G729">
            <v>1.7023486500887481E-4</v>
          </cell>
          <cell r="H729">
            <v>1.8298622611009094E-4</v>
          </cell>
          <cell r="I729">
            <v>1.1903168806431306E-4</v>
          </cell>
        </row>
        <row r="730">
          <cell r="A730" t="str">
            <v>ITOT-SWHCONBR9</v>
          </cell>
          <cell r="B730" t="str">
            <v>VAR_ncap</v>
          </cell>
          <cell r="C730" t="str">
            <v>-</v>
          </cell>
          <cell r="E730">
            <v>8.6474985337971998E-6</v>
          </cell>
          <cell r="F730">
            <v>1.4227356485165399E-7</v>
          </cell>
          <cell r="G730">
            <v>1.08337152544998E-7</v>
          </cell>
          <cell r="H730">
            <v>2.56439976903886E-6</v>
          </cell>
          <cell r="I730">
            <v>1.43649031831734E-6</v>
          </cell>
        </row>
        <row r="731">
          <cell r="A731" t="str">
            <v>ITOT-SWHCONBR9</v>
          </cell>
          <cell r="B731" t="str">
            <v>VAR_cap</v>
          </cell>
          <cell r="C731" t="str">
            <v>-</v>
          </cell>
          <cell r="E731">
            <v>8.6474985337971998E-6</v>
          </cell>
          <cell r="F731">
            <v>8.7897720986488606E-6</v>
          </cell>
          <cell r="G731">
            <v>8.8981092511938496E-6</v>
          </cell>
          <cell r="H731">
            <v>9.65938851751978E-6</v>
          </cell>
          <cell r="I731">
            <v>6.2567455691761102E-6</v>
          </cell>
        </row>
        <row r="732">
          <cell r="A732" t="str">
            <v>SCOM-SHPLTBR</v>
          </cell>
          <cell r="B732" t="str">
            <v>VAR_fout</v>
          </cell>
          <cell r="C732" t="str">
            <v>SCOM-SHPLT</v>
          </cell>
          <cell r="D732">
            <v>1.8770718037536425</v>
          </cell>
          <cell r="E732">
            <v>2.1600825784416551</v>
          </cell>
          <cell r="F732">
            <v>0.41069854048760784</v>
          </cell>
          <cell r="G732">
            <v>0.76196457757119362</v>
          </cell>
          <cell r="H732">
            <v>1.2262372589461954</v>
          </cell>
          <cell r="I732">
            <v>1.2528713555650488</v>
          </cell>
        </row>
        <row r="733">
          <cell r="A733" t="str">
            <v>SCOM-SHPLTBR</v>
          </cell>
          <cell r="B733" t="str">
            <v>VAR_fin</v>
          </cell>
          <cell r="C733" t="str">
            <v>SCOMPLTBRC</v>
          </cell>
          <cell r="D733">
            <v>1.8770718037536425</v>
          </cell>
          <cell r="E733">
            <v>2.1600825784416551</v>
          </cell>
          <cell r="F733">
            <v>0.41069854048760784</v>
          </cell>
          <cell r="G733">
            <v>0.76196457757119362</v>
          </cell>
          <cell r="H733">
            <v>1.2262372589461954</v>
          </cell>
          <cell r="I733">
            <v>1.2528713555650488</v>
          </cell>
        </row>
        <row r="734">
          <cell r="A734" t="str">
            <v>SCOM-SHPLTBR</v>
          </cell>
          <cell r="B734" t="str">
            <v>VAR_fin</v>
          </cell>
          <cell r="C734" t="str">
            <v>SPLT</v>
          </cell>
          <cell r="D734">
            <v>2.0856353375040459</v>
          </cell>
          <cell r="E734">
            <v>2.4000917538240611</v>
          </cell>
          <cell r="F734">
            <v>0.61690733980762757</v>
          </cell>
          <cell r="G734">
            <v>1.1279259295440145</v>
          </cell>
          <cell r="H734">
            <v>1.794546048410405</v>
          </cell>
          <cell r="I734">
            <v>1.8313019711807192</v>
          </cell>
        </row>
        <row r="735">
          <cell r="A735" t="str">
            <v>SCOM-SHPLTBR</v>
          </cell>
          <cell r="B735" t="str">
            <v>VAR_ncap</v>
          </cell>
          <cell r="C735" t="str">
            <v>-</v>
          </cell>
          <cell r="D735">
            <v>1.56279472414036E-4</v>
          </cell>
          <cell r="E735">
            <v>2.4170732753078201E-2</v>
          </cell>
          <cell r="F735">
            <v>5.6804294796332596E-7</v>
          </cell>
          <cell r="G735">
            <v>3.0148742998200098E-6</v>
          </cell>
          <cell r="H735">
            <v>5.0927057806941803E-2</v>
          </cell>
          <cell r="I735">
            <v>4.9543591475589101E-2</v>
          </cell>
        </row>
        <row r="736">
          <cell r="A736" t="str">
            <v>SCOM-SHPLTBR</v>
          </cell>
          <cell r="B736" t="str">
            <v>VAR_cap</v>
          </cell>
          <cell r="C736" t="str">
            <v>-</v>
          </cell>
          <cell r="D736">
            <v>0.15066714759660804</v>
          </cell>
          <cell r="E736">
            <v>0.17483774482500522</v>
          </cell>
          <cell r="F736">
            <v>6.4056218736936205E-2</v>
          </cell>
          <cell r="G736">
            <v>6.4055192671584008E-2</v>
          </cell>
          <cell r="H736">
            <v>0.1076548406694945</v>
          </cell>
          <cell r="I736">
            <v>0.11049740235653632</v>
          </cell>
        </row>
        <row r="737">
          <cell r="A737" t="str">
            <v>ITOT-SWHELCHP</v>
          </cell>
          <cell r="B737" t="str">
            <v>VAR_fout</v>
          </cell>
          <cell r="C737" t="str">
            <v>ITOT-SWHAELCH</v>
          </cell>
          <cell r="D737">
            <v>1.1081544230035762</v>
          </cell>
          <cell r="E737">
            <v>1.4007931864506111</v>
          </cell>
          <cell r="F737">
            <v>3.1464429760443235</v>
          </cell>
          <cell r="G737">
            <v>3.146596786327029</v>
          </cell>
          <cell r="H737">
            <v>5.0161576483355752</v>
          </cell>
          <cell r="I737">
            <v>6.1479336551528174</v>
          </cell>
        </row>
        <row r="738">
          <cell r="A738" t="str">
            <v>ITOT-SWHELCHP</v>
          </cell>
          <cell r="B738" t="str">
            <v>VAR_fin</v>
          </cell>
          <cell r="C738" t="str">
            <v>ITOT_ELC</v>
          </cell>
          <cell r="D738">
            <v>0.35967593345369325</v>
          </cell>
          <cell r="E738">
            <v>0.45106304356058097</v>
          </cell>
          <cell r="F738">
            <v>1.0012950580214144</v>
          </cell>
          <cell r="G738">
            <v>0.98215541960306618</v>
          </cell>
          <cell r="H738">
            <v>1.507914482819245</v>
          </cell>
          <cell r="I738">
            <v>1.7823509282961956</v>
          </cell>
        </row>
        <row r="739">
          <cell r="A739" t="str">
            <v>ITOT-SWHELCHP</v>
          </cell>
          <cell r="B739" t="str">
            <v>VAR_fin</v>
          </cell>
          <cell r="C739" t="str">
            <v>ITOTELCHPC</v>
          </cell>
          <cell r="D739">
            <v>1.1081544230035762</v>
          </cell>
          <cell r="E739">
            <v>1.4007931864506111</v>
          </cell>
          <cell r="F739">
            <v>3.1464429760443235</v>
          </cell>
          <cell r="G739">
            <v>3.146596786327029</v>
          </cell>
          <cell r="H739">
            <v>5.0161576483355752</v>
          </cell>
          <cell r="I739">
            <v>6.1479336551528174</v>
          </cell>
        </row>
        <row r="740">
          <cell r="A740" t="str">
            <v>ITOT-SWHELCHP</v>
          </cell>
          <cell r="B740" t="str">
            <v>VAR_ncap</v>
          </cell>
          <cell r="C740" t="str">
            <v>-</v>
          </cell>
          <cell r="E740">
            <v>1.60868798665149E-2</v>
          </cell>
          <cell r="F740">
            <v>9.4898813616170502E-2</v>
          </cell>
          <cell r="G740">
            <v>1.51196177329198E-3</v>
          </cell>
          <cell r="H740">
            <v>9.9319355919811503E-2</v>
          </cell>
          <cell r="I740">
            <v>0.200499741747342</v>
          </cell>
        </row>
        <row r="741">
          <cell r="A741" t="str">
            <v>ITOT-SWHELCHP</v>
          </cell>
          <cell r="B741" t="str">
            <v>VAR_cap</v>
          </cell>
          <cell r="C741" t="str">
            <v>-</v>
          </cell>
          <cell r="D741">
            <v>6.02631234918991E-2</v>
          </cell>
          <cell r="E741">
            <v>7.6349721372006227E-2</v>
          </cell>
          <cell r="F741">
            <v>0.17124788409833203</v>
          </cell>
          <cell r="G741">
            <v>0.17275891809206931</v>
          </cell>
          <cell r="H741">
            <v>0.27609854335514689</v>
          </cell>
          <cell r="I741">
            <v>0.33980797383732214</v>
          </cell>
        </row>
        <row r="742">
          <cell r="A742" t="str">
            <v>RHES-SHCONBR8</v>
          </cell>
          <cell r="B742" t="str">
            <v>VAR_fout</v>
          </cell>
          <cell r="C742" t="str">
            <v>RHES-SHCON</v>
          </cell>
          <cell r="E742">
            <v>9.4335083350792316E-5</v>
          </cell>
          <cell r="F742">
            <v>5.3405646793910342E-5</v>
          </cell>
          <cell r="G742">
            <v>6.5263344323647152E-5</v>
          </cell>
          <cell r="H742">
            <v>6.3060951666567161E-5</v>
          </cell>
          <cell r="I742">
            <v>4.1779925480308716E-5</v>
          </cell>
        </row>
        <row r="743">
          <cell r="A743" t="str">
            <v>RHES-SHCONBR8</v>
          </cell>
          <cell r="B743" t="str">
            <v>VAR_fin</v>
          </cell>
          <cell r="C743" t="str">
            <v>CON</v>
          </cell>
          <cell r="E743">
            <v>9.4335083350792316E-5</v>
          </cell>
          <cell r="F743">
            <v>5.3405646793910342E-5</v>
          </cell>
          <cell r="G743">
            <v>6.5263344323647152E-5</v>
          </cell>
          <cell r="H743">
            <v>6.3060951666567161E-5</v>
          </cell>
          <cell r="I743">
            <v>4.1779925480308716E-5</v>
          </cell>
        </row>
        <row r="744">
          <cell r="A744" t="str">
            <v>RHES-SHCONBR8</v>
          </cell>
          <cell r="B744" t="str">
            <v>VAR_ncap</v>
          </cell>
          <cell r="C744" t="str">
            <v>-</v>
          </cell>
          <cell r="E744">
            <v>7.2903755005767898E-6</v>
          </cell>
          <cell r="F744">
            <v>4.1696610496635998E-8</v>
          </cell>
          <cell r="G744">
            <v>2.61928495649646E-8</v>
          </cell>
          <cell r="H744">
            <v>4.5186134611183202E-8</v>
          </cell>
          <cell r="I744">
            <v>6.1199440395560296E-8</v>
          </cell>
        </row>
        <row r="745">
          <cell r="A745" t="str">
            <v>RHES-SHCONBR8</v>
          </cell>
          <cell r="B745" t="str">
            <v>VAR_cap</v>
          </cell>
          <cell r="C745" t="str">
            <v>-</v>
          </cell>
          <cell r="E745">
            <v>7.2903755005767898E-6</v>
          </cell>
          <cell r="F745">
            <v>7.3138190755681787E-6</v>
          </cell>
          <cell r="G745">
            <v>7.3292522556186665E-6</v>
          </cell>
          <cell r="H745">
            <v>7.5017762002749714E-6</v>
          </cell>
          <cell r="I745">
            <v>4.5086503844805296E-6</v>
          </cell>
        </row>
        <row r="746">
          <cell r="A746" t="str">
            <v>RHEM-SHWODBR</v>
          </cell>
          <cell r="B746" t="str">
            <v>VAR_fout</v>
          </cell>
          <cell r="C746" t="str">
            <v>RHEM-SHWOD</v>
          </cell>
          <cell r="D746">
            <v>4.7439197358981779</v>
          </cell>
          <cell r="E746">
            <v>5.3177953042290866</v>
          </cell>
          <cell r="F746">
            <v>5.3180090162802216</v>
          </cell>
          <cell r="G746">
            <v>5.1128075029099822</v>
          </cell>
          <cell r="H746">
            <v>4.0434881815838599</v>
          </cell>
          <cell r="I746">
            <v>2.6962237925250592</v>
          </cell>
        </row>
        <row r="747">
          <cell r="A747" t="str">
            <v>RHEM-SHWODBR</v>
          </cell>
          <cell r="B747" t="str">
            <v>VAR_fin</v>
          </cell>
          <cell r="C747" t="str">
            <v>RHEMWODBRC</v>
          </cell>
          <cell r="D747">
            <v>4.7439197358981779</v>
          </cell>
          <cell r="E747">
            <v>5.3177953042290866</v>
          </cell>
          <cell r="F747">
            <v>5.3180090162802216</v>
          </cell>
          <cell r="G747">
            <v>5.1128075029099822</v>
          </cell>
          <cell r="H747">
            <v>4.0434881815838599</v>
          </cell>
          <cell r="I747">
            <v>2.6962237925250592</v>
          </cell>
        </row>
        <row r="748">
          <cell r="A748" t="str">
            <v>RHEM-SHWODBR</v>
          </cell>
          <cell r="B748" t="str">
            <v>VAR_fin</v>
          </cell>
          <cell r="C748" t="str">
            <v>RWOD</v>
          </cell>
          <cell r="D748">
            <v>6.5887774109696924</v>
          </cell>
          <cell r="E748">
            <v>7.3858268114292862</v>
          </cell>
          <cell r="F748">
            <v>7.3952440860445741</v>
          </cell>
          <cell r="G748">
            <v>7.046460685041489</v>
          </cell>
          <cell r="H748">
            <v>5.5448533099252151</v>
          </cell>
          <cell r="I748">
            <v>3.5827939527753294</v>
          </cell>
        </row>
        <row r="749">
          <cell r="A749" t="str">
            <v>RHEM-SHWODBR</v>
          </cell>
          <cell r="B749" t="str">
            <v>VAR_ncap</v>
          </cell>
          <cell r="C749" t="str">
            <v>-</v>
          </cell>
          <cell r="D749">
            <v>8.6582953486102199E-5</v>
          </cell>
          <cell r="E749">
            <v>4.0398907600015299E-2</v>
          </cell>
          <cell r="F749">
            <v>5.1621463925154998E-6</v>
          </cell>
          <cell r="G749">
            <v>5.3573343328663103E-7</v>
          </cell>
          <cell r="H749">
            <v>7.3044947128965698E-2</v>
          </cell>
          <cell r="I749">
            <v>4.6702201740520602E-2</v>
          </cell>
        </row>
        <row r="750">
          <cell r="A750" t="str">
            <v>RHEM-SHWODBR</v>
          </cell>
          <cell r="B750" t="str">
            <v>VAR_cap</v>
          </cell>
          <cell r="C750" t="str">
            <v>-</v>
          </cell>
          <cell r="D750">
            <v>0.33515836190847914</v>
          </cell>
          <cell r="E750">
            <v>0.3755571377194234</v>
          </cell>
          <cell r="F750">
            <v>0.3755620225228995</v>
          </cell>
          <cell r="G750">
            <v>0.37555925984669852</v>
          </cell>
          <cell r="H750">
            <v>0.2883123264927463</v>
          </cell>
          <cell r="I750">
            <v>0.19076965280459535</v>
          </cell>
        </row>
        <row r="751">
          <cell r="A751" t="str">
            <v>RHES-SHCONBR9</v>
          </cell>
          <cell r="B751" t="str">
            <v>VAR_fout</v>
          </cell>
          <cell r="C751" t="str">
            <v>RHES-SHCON</v>
          </cell>
          <cell r="E751">
            <v>2.6749379691618306E-5</v>
          </cell>
          <cell r="F751">
            <v>1.8521003502735107E-5</v>
          </cell>
          <cell r="G751">
            <v>1.613018557684204E-5</v>
          </cell>
          <cell r="H751">
            <v>1.8021860933444279E-5</v>
          </cell>
          <cell r="I751">
            <v>1.2100614318810944E-5</v>
          </cell>
        </row>
        <row r="752">
          <cell r="A752" t="str">
            <v>RHES-SHCONBR9</v>
          </cell>
          <cell r="B752" t="str">
            <v>VAR_fin</v>
          </cell>
          <cell r="C752" t="str">
            <v>CON</v>
          </cell>
          <cell r="E752">
            <v>2.6749379691618306E-5</v>
          </cell>
          <cell r="F752">
            <v>1.8521003502735107E-5</v>
          </cell>
          <cell r="G752">
            <v>1.613018557684204E-5</v>
          </cell>
          <cell r="H752">
            <v>1.8021860933444279E-5</v>
          </cell>
          <cell r="I752">
            <v>1.2100614318810944E-5</v>
          </cell>
        </row>
        <row r="753">
          <cell r="A753" t="str">
            <v>RHES-SHCONBR9</v>
          </cell>
          <cell r="B753" t="str">
            <v>VAR_ncap</v>
          </cell>
          <cell r="C753" t="str">
            <v>-</v>
          </cell>
          <cell r="E753">
            <v>1.34249679906572E-6</v>
          </cell>
          <cell r="F753">
            <v>4.0840585209394497E-8</v>
          </cell>
          <cell r="G753">
            <v>1.38186629528506E-8</v>
          </cell>
          <cell r="H753">
            <v>2.9847341284961599E-8</v>
          </cell>
          <cell r="I753">
            <v>2.8176648353525001E-8</v>
          </cell>
        </row>
        <row r="754">
          <cell r="A754" t="str">
            <v>RHES-SHCONBR9</v>
          </cell>
          <cell r="B754" t="str">
            <v>VAR_cap</v>
          </cell>
          <cell r="C754" t="str">
            <v>-</v>
          </cell>
          <cell r="E754">
            <v>1.34249679906572E-6</v>
          </cell>
          <cell r="F754">
            <v>1.3833373842751199E-6</v>
          </cell>
          <cell r="G754">
            <v>1.3971560472279701E-6</v>
          </cell>
          <cell r="H754">
            <v>1.5162575335407501E-6</v>
          </cell>
          <cell r="I754">
            <v>9.6973982709703308E-7</v>
          </cell>
        </row>
        <row r="755">
          <cell r="A755" t="str">
            <v>D-RHNS_LTH_CHPNGA</v>
          </cell>
          <cell r="B755" t="str">
            <v>VAR_fout</v>
          </cell>
          <cell r="C755" t="str">
            <v>RHSA_LTH</v>
          </cell>
          <cell r="D755">
            <v>3.748950505796385E-6</v>
          </cell>
          <cell r="E755">
            <v>4.7857196133254594E-6</v>
          </cell>
          <cell r="F755">
            <v>1.4176512450205848E-3</v>
          </cell>
          <cell r="G755">
            <v>8.3753227933769457E-4</v>
          </cell>
          <cell r="H755">
            <v>1.4920279897364433E-3</v>
          </cell>
          <cell r="I755">
            <v>5.0451662208039825E-4</v>
          </cell>
        </row>
        <row r="756">
          <cell r="A756" t="str">
            <v>D-RHNS_LTH_CHPNGA</v>
          </cell>
          <cell r="B756" t="str">
            <v>VAR_fout</v>
          </cell>
          <cell r="C756" t="str">
            <v>LTH</v>
          </cell>
          <cell r="H756">
            <v>2.7776831289767208E-6</v>
          </cell>
          <cell r="I756">
            <v>9.1125543094534119E-8</v>
          </cell>
        </row>
        <row r="757">
          <cell r="A757" t="str">
            <v>D-RHNS_LTH_CHPNGA</v>
          </cell>
          <cell r="B757" t="str">
            <v>VAR_fout</v>
          </cell>
          <cell r="C757" t="str">
            <v>RHNS_LTH_CHPNGA_ON</v>
          </cell>
          <cell r="D757">
            <v>1.1363599842057255E-5</v>
          </cell>
          <cell r="E757">
            <v>9.7769503410544177E-4</v>
          </cell>
          <cell r="F757">
            <v>2.0877848592143718E-5</v>
          </cell>
          <cell r="H757">
            <v>1.4102843761150008E-3</v>
          </cell>
        </row>
        <row r="758">
          <cell r="A758" t="str">
            <v>D-RHNS_LTH_CHPNGA</v>
          </cell>
          <cell r="B758" t="str">
            <v>VAR_fin</v>
          </cell>
          <cell r="C758" t="str">
            <v>RHNS_LTH_CHPNGA</v>
          </cell>
          <cell r="D758">
            <v>1.5112550347853643E-5</v>
          </cell>
          <cell r="E758">
            <v>9.827165945360363E-4</v>
          </cell>
          <cell r="F758">
            <v>1.4390439667042556E-3</v>
          </cell>
          <cell r="G758">
            <v>8.3811873728832436E-4</v>
          </cell>
          <cell r="H758">
            <v>2.9060208967417425E-3</v>
          </cell>
          <cell r="I758">
            <v>5.0553015281620481E-4</v>
          </cell>
        </row>
        <row r="759">
          <cell r="A759" t="str">
            <v>D-SLFO</v>
          </cell>
          <cell r="B759" t="str">
            <v>VAR_fout</v>
          </cell>
          <cell r="C759" t="str">
            <v>CO2</v>
          </cell>
          <cell r="D759">
            <v>2267.78876344947</v>
          </cell>
          <cell r="E759">
            <v>2030.7446045778699</v>
          </cell>
          <cell r="F759">
            <v>1881.80141301052</v>
          </cell>
          <cell r="G759">
            <v>1137.56264183346</v>
          </cell>
          <cell r="H759">
            <v>389.99008007304099</v>
          </cell>
        </row>
        <row r="760">
          <cell r="A760" t="str">
            <v>D-SLFO</v>
          </cell>
          <cell r="B760" t="str">
            <v>VAR_fout</v>
          </cell>
          <cell r="C760" t="str">
            <v>SLFO</v>
          </cell>
          <cell r="D760">
            <v>30.256635661183736</v>
          </cell>
          <cell r="E760">
            <v>27.09401361005397</v>
          </cell>
          <cell r="F760">
            <v>25.107050513679713</v>
          </cell>
          <cell r="G760">
            <v>15.177759207098662</v>
          </cell>
          <cell r="H760">
            <v>5.20368454053476</v>
          </cell>
          <cell r="I760">
            <v>0.23451223253958195</v>
          </cell>
        </row>
        <row r="761">
          <cell r="A761" t="str">
            <v>D-SLFO</v>
          </cell>
          <cell r="B761" t="str">
            <v>VAR_fin</v>
          </cell>
          <cell r="C761" t="str">
            <v>LFO</v>
          </cell>
          <cell r="D761">
            <v>30.770539531200342</v>
          </cell>
          <cell r="E761">
            <v>27.554200876226215</v>
          </cell>
          <cell r="F761">
            <v>25.53326204898935</v>
          </cell>
          <cell r="G761">
            <v>15.435042630033356</v>
          </cell>
          <cell r="H761">
            <v>5.2915886034333948</v>
          </cell>
        </row>
        <row r="762">
          <cell r="A762" t="str">
            <v>D-SLFO</v>
          </cell>
          <cell r="B762" t="str">
            <v>VAR_fin</v>
          </cell>
          <cell r="C762" t="str">
            <v>BDS</v>
          </cell>
          <cell r="F762">
            <v>2.2910565991251641E-4</v>
          </cell>
          <cell r="G762">
            <v>5.1173692631173667E-4</v>
          </cell>
          <cell r="H762">
            <v>4.8362481732432133E-4</v>
          </cell>
          <cell r="I762">
            <v>0.23849634143436102</v>
          </cell>
        </row>
        <row r="763">
          <cell r="A763" t="str">
            <v>D-RCOA</v>
          </cell>
          <cell r="B763" t="str">
            <v>VAR_fout</v>
          </cell>
          <cell r="C763" t="str">
            <v>CO2</v>
          </cell>
          <cell r="D763">
            <v>9.2700566823638209</v>
          </cell>
          <cell r="E763">
            <v>9.2699744280713894</v>
          </cell>
          <cell r="F763">
            <v>2.4637410685892398</v>
          </cell>
          <cell r="G763">
            <v>2.0839161823898101E-2</v>
          </cell>
        </row>
        <row r="764">
          <cell r="A764" t="str">
            <v>D-RCOA</v>
          </cell>
          <cell r="B764" t="str">
            <v>VAR_fout</v>
          </cell>
          <cell r="C764" t="str">
            <v>RCOA</v>
          </cell>
          <cell r="D764">
            <v>0.1000006114602353</v>
          </cell>
          <cell r="E764">
            <v>9.9999724143164895E-2</v>
          </cell>
          <cell r="F764">
            <v>2.6577573555439486E-2</v>
          </cell>
          <cell r="G764">
            <v>2.2480217717257934E-4</v>
          </cell>
        </row>
        <row r="765">
          <cell r="A765" t="str">
            <v>D-RCOA</v>
          </cell>
          <cell r="B765" t="str">
            <v>VAR_fin</v>
          </cell>
          <cell r="C765" t="str">
            <v>COA</v>
          </cell>
          <cell r="D765">
            <v>0.1000006114602353</v>
          </cell>
          <cell r="E765">
            <v>9.9999724143164895E-2</v>
          </cell>
          <cell r="F765">
            <v>2.6577573555439486E-2</v>
          </cell>
          <cell r="G765">
            <v>2.2480217717257934E-4</v>
          </cell>
        </row>
        <row r="766">
          <cell r="A766" t="str">
            <v>D-RHEM_KEV_WOD_ELC_CHP</v>
          </cell>
          <cell r="B766" t="str">
            <v>VAR_fout</v>
          </cell>
          <cell r="C766" t="str">
            <v>ELC5</v>
          </cell>
          <cell r="G766">
            <v>5.0057276122040704E-4</v>
          </cell>
          <cell r="H766">
            <v>1.1688751404042349E-3</v>
          </cell>
          <cell r="I766">
            <v>2.8298501643419035E-4</v>
          </cell>
        </row>
        <row r="767">
          <cell r="A767" t="str">
            <v>D-RHEM_KEV_WOD_ELC_CHP</v>
          </cell>
          <cell r="B767" t="str">
            <v>VAR_fout</v>
          </cell>
          <cell r="C767" t="str">
            <v>RHEM_ELC</v>
          </cell>
          <cell r="G767">
            <v>5.0029168403009606E-4</v>
          </cell>
          <cell r="H767">
            <v>1.1684424024036417E-3</v>
          </cell>
          <cell r="I767">
            <v>2.8296795892564892E-4</v>
          </cell>
        </row>
        <row r="768">
          <cell r="A768" t="str">
            <v>D-RHEM_KEV_WOD_ELC_CHP</v>
          </cell>
          <cell r="B768" t="str">
            <v>VAR_fin</v>
          </cell>
          <cell r="C768" t="str">
            <v>RHEM_KEV_WOD_ELC_CHP</v>
          </cell>
          <cell r="G768">
            <v>9.9684273974466695E-4</v>
          </cell>
          <cell r="H768">
            <v>2.3334003380682238E-3</v>
          </cell>
          <cell r="I768">
            <v>5.632522028168462E-4</v>
          </cell>
        </row>
        <row r="769">
          <cell r="A769" t="str">
            <v>RHES-SHSTG-SOL</v>
          </cell>
          <cell r="B769" t="str">
            <v>VAR_fout</v>
          </cell>
          <cell r="C769" t="str">
            <v>RHES-SHASOL</v>
          </cell>
          <cell r="D769">
            <v>1.1654839972855699E-5</v>
          </cell>
          <cell r="E769">
            <v>2.4745201763007481E-6</v>
          </cell>
          <cell r="F769">
            <v>3.1908493773334374E-3</v>
          </cell>
          <cell r="G769">
            <v>1.3156203485000214E-3</v>
          </cell>
          <cell r="H769">
            <v>2.8404254249488232E-3</v>
          </cell>
          <cell r="I769">
            <v>1.5121372085536192E-3</v>
          </cell>
        </row>
        <row r="770">
          <cell r="A770" t="str">
            <v>RHES-SHSTG-SOL</v>
          </cell>
          <cell r="B770" t="str">
            <v>VAR_fin</v>
          </cell>
          <cell r="C770" t="str">
            <v>RHES-SHASOL</v>
          </cell>
          <cell r="D770">
            <v>1.8450468172217439E-7</v>
          </cell>
          <cell r="E770">
            <v>1.8945109018777437E-6</v>
          </cell>
          <cell r="F770">
            <v>3.189806320547885E-3</v>
          </cell>
          <cell r="G770">
            <v>1.3136302607153363E-3</v>
          </cell>
          <cell r="H770">
            <v>2.8401107146806019E-3</v>
          </cell>
          <cell r="I770">
            <v>1.5119893797839021E-3</v>
          </cell>
        </row>
        <row r="771">
          <cell r="A771" t="str">
            <v>RHES-SHSTG-SOL</v>
          </cell>
          <cell r="B771" t="str">
            <v>VAR_ncap</v>
          </cell>
          <cell r="C771" t="str">
            <v>-</v>
          </cell>
          <cell r="D771">
            <v>9.8408277954073198E-3</v>
          </cell>
          <cell r="E771">
            <v>1.3227101518025199E-3</v>
          </cell>
          <cell r="F771">
            <v>1.64289584993554E-7</v>
          </cell>
          <cell r="G771">
            <v>1.4775509065980399E-7</v>
          </cell>
          <cell r="H771">
            <v>5.1719639119439495E-4</v>
          </cell>
          <cell r="I771">
            <v>1.13514393999758E-4</v>
          </cell>
        </row>
        <row r="772">
          <cell r="A772" t="str">
            <v>RHES-SHSTG-SOL</v>
          </cell>
          <cell r="B772" t="str">
            <v>VAR_cap</v>
          </cell>
          <cell r="C772" t="str">
            <v>-</v>
          </cell>
          <cell r="D772">
            <v>9.8408277954073198E-3</v>
          </cell>
          <cell r="E772">
            <v>1.11635379472098E-2</v>
          </cell>
          <cell r="F772">
            <v>1.11637022367948E-2</v>
          </cell>
          <cell r="G772">
            <v>1.1163849991885501E-2</v>
          </cell>
          <cell r="H772">
            <v>5.5816671833426698E-4</v>
          </cell>
          <cell r="I772">
            <v>5.0613638753808498E-4</v>
          </cell>
        </row>
        <row r="773">
          <cell r="A773" t="str">
            <v>D-ITOT_LTH</v>
          </cell>
          <cell r="B773" t="str">
            <v>VAR_fout</v>
          </cell>
          <cell r="C773" t="str">
            <v>ITOT_LTH_DH</v>
          </cell>
          <cell r="D773">
            <v>7.1200083028758767</v>
          </cell>
          <cell r="E773">
            <v>7.6289071432017055</v>
          </cell>
          <cell r="F773">
            <v>7.3297952615242101</v>
          </cell>
          <cell r="G773">
            <v>7.1839619334299112</v>
          </cell>
          <cell r="H773">
            <v>10.175344346126227</v>
          </cell>
          <cell r="I773">
            <v>12.715265344493016</v>
          </cell>
        </row>
        <row r="774">
          <cell r="A774" t="str">
            <v>D-ITOT_LTH</v>
          </cell>
          <cell r="B774" t="str">
            <v>VAR_fin</v>
          </cell>
          <cell r="C774" t="str">
            <v>LTH</v>
          </cell>
          <cell r="D774">
            <v>7.7403447168133264</v>
          </cell>
          <cell r="E774">
            <v>8.2914021217769491</v>
          </cell>
          <cell r="F774">
            <v>7.9631761091180193</v>
          </cell>
          <cell r="G774">
            <v>7.7996184940663227</v>
          </cell>
          <cell r="H774">
            <v>11.032876000394026</v>
          </cell>
          <cell r="I774">
            <v>13.76879962617817</v>
          </cell>
        </row>
        <row r="775">
          <cell r="A775" t="str">
            <v>D-ITOT_LTH</v>
          </cell>
          <cell r="B775" t="str">
            <v>VAR_ncap</v>
          </cell>
          <cell r="C775" t="str">
            <v>-</v>
          </cell>
          <cell r="D775">
            <v>0.79547238608659998</v>
          </cell>
          <cell r="E775">
            <v>9.8751042225247503E-8</v>
          </cell>
          <cell r="F775">
            <v>1.1964342755926901E-7</v>
          </cell>
          <cell r="G775">
            <v>1.4878972363996701E-7</v>
          </cell>
          <cell r="H775">
            <v>4.9741458299658705E-7</v>
          </cell>
          <cell r="I775">
            <v>1.3946724305692501E-6</v>
          </cell>
        </row>
        <row r="776">
          <cell r="A776" t="str">
            <v>D-ITOT_LTH</v>
          </cell>
          <cell r="B776" t="str">
            <v>VAR_cap</v>
          </cell>
          <cell r="C776" t="str">
            <v>-</v>
          </cell>
          <cell r="D776">
            <v>0.79547238608659998</v>
          </cell>
          <cell r="E776">
            <v>0.79547248483764199</v>
          </cell>
          <cell r="F776">
            <v>0.79547260448106905</v>
          </cell>
          <cell r="G776">
            <v>0.79547275327079303</v>
          </cell>
          <cell r="H776">
            <v>0.79547354406544801</v>
          </cell>
          <cell r="I776">
            <v>0.795474938737878</v>
          </cell>
        </row>
        <row r="777">
          <cell r="A777" t="str">
            <v>D-IH2</v>
          </cell>
          <cell r="B777" t="str">
            <v>VAR_fout</v>
          </cell>
          <cell r="C777" t="str">
            <v>IH2</v>
          </cell>
          <cell r="G777">
            <v>6.3733148310008794</v>
          </cell>
          <cell r="H777">
            <v>5.636769897024668</v>
          </cell>
          <cell r="I777">
            <v>12.470543479052074</v>
          </cell>
        </row>
        <row r="778">
          <cell r="A778" t="str">
            <v>D-IH2</v>
          </cell>
          <cell r="B778" t="str">
            <v>VAR_fin</v>
          </cell>
          <cell r="C778" t="str">
            <v>H2</v>
          </cell>
          <cell r="G778">
            <v>6.4218692163465736</v>
          </cell>
          <cell r="H778">
            <v>5.6797129972703786</v>
          </cell>
          <cell r="I778">
            <v>12.565548918075255</v>
          </cell>
        </row>
        <row r="779">
          <cell r="A779" t="str">
            <v>D-IH2</v>
          </cell>
          <cell r="B779" t="str">
            <v>VAR_ncap</v>
          </cell>
          <cell r="C779" t="str">
            <v>-</v>
          </cell>
          <cell r="G779">
            <v>0.42691296249156302</v>
          </cell>
          <cell r="H779">
            <v>0.19445986715803201</v>
          </cell>
          <cell r="I779">
            <v>0.41919482237594902</v>
          </cell>
        </row>
        <row r="780">
          <cell r="A780" t="str">
            <v>D-IH2</v>
          </cell>
          <cell r="B780" t="str">
            <v>VAR_cap</v>
          </cell>
          <cell r="C780" t="str">
            <v>-</v>
          </cell>
          <cell r="G780">
            <v>0.42691296249156302</v>
          </cell>
          <cell r="H780">
            <v>0.62138695021486001</v>
          </cell>
          <cell r="I780">
            <v>1.04058177259081</v>
          </cell>
        </row>
        <row r="781">
          <cell r="A781" t="str">
            <v>D-RHNM_LTH_CHPWOD</v>
          </cell>
          <cell r="B781" t="str">
            <v>VAR_fout</v>
          </cell>
          <cell r="C781" t="str">
            <v>RHNM_LTH_CHPWOD_ON</v>
          </cell>
          <cell r="D781">
            <v>5.4849347278823179E-6</v>
          </cell>
          <cell r="E781">
            <v>7.3439104745526862E-6</v>
          </cell>
          <cell r="F781">
            <v>8.433158900860041E-7</v>
          </cell>
          <cell r="H781">
            <v>2.6879437255623966E-3</v>
          </cell>
        </row>
        <row r="782">
          <cell r="A782" t="str">
            <v>D-RHNM_LTH_CHPWOD</v>
          </cell>
          <cell r="B782" t="str">
            <v>VAR_fout</v>
          </cell>
          <cell r="C782" t="str">
            <v>RHSA_LTH</v>
          </cell>
          <cell r="D782">
            <v>9.6276335915860413E-6</v>
          </cell>
          <cell r="E782">
            <v>9.1741215218369054E-6</v>
          </cell>
          <cell r="F782">
            <v>5.2324354499156217E-6</v>
          </cell>
          <cell r="G782">
            <v>2.6478680502150403E-3</v>
          </cell>
          <cell r="H782">
            <v>3.166895036402387E-3</v>
          </cell>
          <cell r="I782">
            <v>1.3230027770415825E-3</v>
          </cell>
        </row>
        <row r="783">
          <cell r="A783" t="str">
            <v>D-RHNM_LTH_CHPWOD</v>
          </cell>
          <cell r="B783" t="str">
            <v>VAR_fout</v>
          </cell>
          <cell r="C783" t="str">
            <v>LTH</v>
          </cell>
          <cell r="G783">
            <v>5.7975227023155299E-7</v>
          </cell>
          <cell r="H783">
            <v>7.1728538780689927E-6</v>
          </cell>
          <cell r="I783">
            <v>1.3792764988883493E-6</v>
          </cell>
        </row>
        <row r="784">
          <cell r="A784" t="str">
            <v>D-RHNM_LTH_CHPWOD</v>
          </cell>
          <cell r="B784" t="str">
            <v>VAR_fin</v>
          </cell>
          <cell r="C784" t="str">
            <v>RHNM_LTH_CHPWOD</v>
          </cell>
          <cell r="D784">
            <v>1.5112568319468355E-5</v>
          </cell>
          <cell r="E784">
            <v>1.6937607285075868E-5</v>
          </cell>
          <cell r="F784">
            <v>6.4606688917844226E-6</v>
          </cell>
          <cell r="G784">
            <v>2.6495554258159438E-3</v>
          </cell>
          <cell r="H784">
            <v>5.8621726006784624E-3</v>
          </cell>
          <cell r="I784">
            <v>1.3255455551320155E-3</v>
          </cell>
        </row>
        <row r="785">
          <cell r="A785" t="str">
            <v>RHNS-SHWODBR</v>
          </cell>
          <cell r="B785" t="str">
            <v>VAR_fout</v>
          </cell>
          <cell r="C785" t="str">
            <v>RHNS-SHWOD</v>
          </cell>
          <cell r="E785">
            <v>2.6569019293721491E-2</v>
          </cell>
          <cell r="F785">
            <v>3.1295988299099298E-2</v>
          </cell>
          <cell r="G785">
            <v>8.5986687859324257E-2</v>
          </cell>
          <cell r="H785">
            <v>9.6385244492572852E-2</v>
          </cell>
          <cell r="I785">
            <v>0.11085126608102144</v>
          </cell>
        </row>
        <row r="786">
          <cell r="A786" t="str">
            <v>RHNS-SHWODBR</v>
          </cell>
          <cell r="B786" t="str">
            <v>VAR_fin</v>
          </cell>
          <cell r="C786" t="str">
            <v>RHNSWODBRC</v>
          </cell>
          <cell r="E786">
            <v>2.6569019293721491E-2</v>
          </cell>
          <cell r="F786">
            <v>3.1295988299099298E-2</v>
          </cell>
          <cell r="G786">
            <v>8.5986687859324257E-2</v>
          </cell>
          <cell r="H786">
            <v>9.6385244492572852E-2</v>
          </cell>
          <cell r="I786">
            <v>0.11085126608102144</v>
          </cell>
        </row>
        <row r="787">
          <cell r="A787" t="str">
            <v>RHNS-SHWODBR</v>
          </cell>
          <cell r="B787" t="str">
            <v>VAR_fin</v>
          </cell>
          <cell r="C787" t="str">
            <v>RWOD</v>
          </cell>
          <cell r="E787">
            <v>3.690141568572429E-2</v>
          </cell>
          <cell r="F787">
            <v>4.1872107624489403E-2</v>
          </cell>
          <cell r="G787">
            <v>0.11330813721460378</v>
          </cell>
          <cell r="H787">
            <v>0.12645237841177551</v>
          </cell>
          <cell r="I787">
            <v>0.14445936424255101</v>
          </cell>
        </row>
        <row r="788">
          <cell r="A788" t="str">
            <v>RHNS-SHWODBR</v>
          </cell>
          <cell r="B788" t="str">
            <v>VAR_ncap</v>
          </cell>
          <cell r="C788" t="str">
            <v>-</v>
          </cell>
          <cell r="E788">
            <v>3.0212669041495099E-3</v>
          </cell>
          <cell r="F788">
            <v>3.2754360068038601E-3</v>
          </cell>
        </row>
        <row r="789">
          <cell r="A789" t="str">
            <v>RHNS-SHWODBR</v>
          </cell>
          <cell r="B789" t="str">
            <v>VAR_cap</v>
          </cell>
          <cell r="C789" t="str">
            <v>-</v>
          </cell>
          <cell r="E789">
            <v>3.0212669041495099E-3</v>
          </cell>
          <cell r="F789">
            <v>6.2965266322364075E-3</v>
          </cell>
          <cell r="G789">
            <v>6.2963753784123829E-3</v>
          </cell>
          <cell r="H789">
            <v>1.9479625932228888E-2</v>
          </cell>
          <cell r="I789">
            <v>8.0946625381490694E-3</v>
          </cell>
        </row>
        <row r="790">
          <cell r="A790" t="str">
            <v>D-RHNM_NKEV_GAS_ELC_CHP</v>
          </cell>
          <cell r="B790" t="str">
            <v>VAR_fout</v>
          </cell>
          <cell r="C790" t="str">
            <v>ELC5</v>
          </cell>
          <cell r="E790">
            <v>6.4182023993240498E-4</v>
          </cell>
          <cell r="F790">
            <v>1.1235292983379464E-3</v>
          </cell>
          <cell r="G790">
            <v>4.435284193184214E-4</v>
          </cell>
          <cell r="H790">
            <v>5.5527513698520381E-2</v>
          </cell>
          <cell r="I790">
            <v>3.002379133141066E-4</v>
          </cell>
        </row>
        <row r="791">
          <cell r="A791" t="str">
            <v>D-RHNM_NKEV_GAS_ELC_CHP</v>
          </cell>
          <cell r="B791" t="str">
            <v>VAR_fout</v>
          </cell>
          <cell r="C791" t="str">
            <v>RHNM_ELC</v>
          </cell>
          <cell r="E791">
            <v>6.4181205538510369E-4</v>
          </cell>
          <cell r="F791">
            <v>1.1208373628327779E-3</v>
          </cell>
          <cell r="G791">
            <v>4.4341497567673645E-4</v>
          </cell>
          <cell r="H791">
            <v>5.533947957745184E-2</v>
          </cell>
          <cell r="I791">
            <v>3.003011303216332E-4</v>
          </cell>
        </row>
        <row r="792">
          <cell r="A792" t="str">
            <v>D-RHNM_NKEV_GAS_ELC_CHP</v>
          </cell>
          <cell r="B792" t="str">
            <v>VAR_fin</v>
          </cell>
          <cell r="C792" t="str">
            <v>RHNM_NKEV_GAS_ELC_CHP</v>
          </cell>
          <cell r="E792">
            <v>1.2836322953175079E-3</v>
          </cell>
          <cell r="F792">
            <v>2.2395188191606393E-3</v>
          </cell>
          <cell r="G792">
            <v>8.8694339499515785E-4</v>
          </cell>
          <cell r="H792">
            <v>0.11086699327597217</v>
          </cell>
          <cell r="I792">
            <v>6.0053904363573931E-4</v>
          </cell>
        </row>
        <row r="793">
          <cell r="A793" t="str">
            <v>D-RLFO</v>
          </cell>
          <cell r="B793" t="str">
            <v>VAR_fout</v>
          </cell>
          <cell r="C793" t="str">
            <v>CO2</v>
          </cell>
          <cell r="D793">
            <v>4514.48294827055</v>
          </cell>
          <cell r="E793">
            <v>3846.5261661988202</v>
          </cell>
          <cell r="F793">
            <v>3572.1612315819002</v>
          </cell>
          <cell r="G793">
            <v>1766.7426916162999</v>
          </cell>
          <cell r="H793">
            <v>423.03759514880397</v>
          </cell>
        </row>
        <row r="794">
          <cell r="A794" t="str">
            <v>D-RLFO</v>
          </cell>
          <cell r="B794" t="str">
            <v>VAR_fout</v>
          </cell>
          <cell r="C794" t="str">
            <v>RLFO</v>
          </cell>
          <cell r="D794">
            <v>60.231829333469712</v>
          </cell>
          <cell r="E794">
            <v>51.320009450466152</v>
          </cell>
          <cell r="F794">
            <v>47.659685719748715</v>
          </cell>
          <cell r="G794">
            <v>23.572233306948519</v>
          </cell>
          <cell r="H794">
            <v>5.6446080628064275</v>
          </cell>
          <cell r="I794">
            <v>0.3646580856757563</v>
          </cell>
        </row>
        <row r="795">
          <cell r="A795" t="str">
            <v>D-RLFO</v>
          </cell>
          <cell r="B795" t="str">
            <v>VAR_fin</v>
          </cell>
          <cell r="C795" t="str">
            <v>LFO</v>
          </cell>
          <cell r="D795">
            <v>61.254856828637017</v>
          </cell>
          <cell r="E795">
            <v>52.191671183159045</v>
          </cell>
          <cell r="F795">
            <v>48.468944797583319</v>
          </cell>
          <cell r="G795">
            <v>23.972085367928052</v>
          </cell>
          <cell r="H795">
            <v>5.7399945067680296</v>
          </cell>
        </row>
        <row r="796">
          <cell r="A796" t="str">
            <v>D-RLFO</v>
          </cell>
          <cell r="B796" t="str">
            <v>VAR_fin</v>
          </cell>
          <cell r="C796" t="str">
            <v>BDS</v>
          </cell>
          <cell r="F796">
            <v>2.3289658056168246E-4</v>
          </cell>
          <cell r="G796">
            <v>5.1864490789575691E-4</v>
          </cell>
          <cell r="H796">
            <v>4.8666206588313712E-4</v>
          </cell>
          <cell r="I796">
            <v>0.37085019646725104</v>
          </cell>
        </row>
        <row r="797">
          <cell r="A797" t="str">
            <v>D-SCOM_LTH_CHPBIO</v>
          </cell>
          <cell r="B797" t="str">
            <v>VAR_fout</v>
          </cell>
          <cell r="C797" t="str">
            <v>SCOM_LTH_CHPBIO_ON</v>
          </cell>
          <cell r="D797">
            <v>1.4243094977928392</v>
          </cell>
          <cell r="E797">
            <v>1.5427987094807849</v>
          </cell>
        </row>
        <row r="798">
          <cell r="A798" t="str">
            <v>D-SCOM_LTH_CHPBIO</v>
          </cell>
          <cell r="B798" t="str">
            <v>VAR_fout</v>
          </cell>
          <cell r="C798" t="str">
            <v>LTH</v>
          </cell>
          <cell r="E798">
            <v>3.5533078163412848E-2</v>
          </cell>
        </row>
        <row r="799">
          <cell r="A799" t="str">
            <v>D-SCOM_LTH_CHPBIO</v>
          </cell>
          <cell r="B799" t="str">
            <v>VAR_fin</v>
          </cell>
          <cell r="C799" t="str">
            <v>SCOM_LTH_CHPBIO</v>
          </cell>
          <cell r="D799">
            <v>1.4243094977928392</v>
          </cell>
          <cell r="E799">
            <v>1.5783317876441978</v>
          </cell>
        </row>
        <row r="800">
          <cell r="A800" t="str">
            <v>D-SCOM_NKEV_GAS_ELC_CHP</v>
          </cell>
          <cell r="B800" t="str">
            <v>VAR_fout</v>
          </cell>
          <cell r="C800" t="str">
            <v>ELC5</v>
          </cell>
          <cell r="D800">
            <v>0.29706891888624504</v>
          </cell>
          <cell r="E800">
            <v>0.3128418690157897</v>
          </cell>
          <cell r="F800">
            <v>1.6017017300493032E-3</v>
          </cell>
          <cell r="G800">
            <v>4.6987624436587019E-4</v>
          </cell>
          <cell r="H800">
            <v>1.6435605593890931E-3</v>
          </cell>
          <cell r="I800">
            <v>2.8081829177850626E-4</v>
          </cell>
        </row>
        <row r="801">
          <cell r="A801" t="str">
            <v>D-SCOM_NKEV_GAS_ELC_CHP</v>
          </cell>
          <cell r="B801" t="str">
            <v>VAR_fout</v>
          </cell>
          <cell r="C801" t="str">
            <v>SCOM_ELC</v>
          </cell>
          <cell r="D801">
            <v>0.29733226503969429</v>
          </cell>
          <cell r="E801">
            <v>0.31307675551625874</v>
          </cell>
          <cell r="F801">
            <v>1.6026909779281626E-3</v>
          </cell>
          <cell r="G801">
            <v>4.7013937381409823E-4</v>
          </cell>
          <cell r="H801">
            <v>1.6432100675382629E-3</v>
          </cell>
          <cell r="I801">
            <v>2.8072198652470085E-4</v>
          </cell>
        </row>
        <row r="802">
          <cell r="A802" t="str">
            <v>D-SCOM_NKEV_GAS_ELC_CHP</v>
          </cell>
          <cell r="B802" t="str">
            <v>VAR_fin</v>
          </cell>
          <cell r="C802" t="str">
            <v>SCOM_NKEV_GAS_ELC_CHP</v>
          </cell>
          <cell r="D802">
            <v>0.5944011839259391</v>
          </cell>
          <cell r="E802">
            <v>0.62591862453204883</v>
          </cell>
          <cell r="F802">
            <v>3.2001399325024939E-3</v>
          </cell>
          <cell r="G802">
            <v>9.4001561817996804E-4</v>
          </cell>
          <cell r="H802">
            <v>3.2867706269273595E-3</v>
          </cell>
          <cell r="I802">
            <v>5.6154027830320754E-4</v>
          </cell>
        </row>
        <row r="803">
          <cell r="A803" t="str">
            <v>RHEM-SHLTHDH</v>
          </cell>
          <cell r="B803" t="str">
            <v>VAR_fout</v>
          </cell>
          <cell r="C803" t="str">
            <v>RHEM-SHLTHD</v>
          </cell>
          <cell r="D803">
            <v>3.396317229916658</v>
          </cell>
          <cell r="E803">
            <v>3.7887296667049961</v>
          </cell>
          <cell r="F803">
            <v>4.4068731108748871</v>
          </cell>
          <cell r="G803">
            <v>5.233825977900552</v>
          </cell>
          <cell r="H803">
            <v>5.4733702013605603</v>
          </cell>
          <cell r="I803">
            <v>4.9155095111748857</v>
          </cell>
        </row>
        <row r="804">
          <cell r="A804" t="str">
            <v>RHEM-SHLTHDH</v>
          </cell>
          <cell r="B804" t="str">
            <v>VAR_fin</v>
          </cell>
          <cell r="C804" t="str">
            <v>RHEMLTHDHC</v>
          </cell>
          <cell r="D804">
            <v>3.396317229916658</v>
          </cell>
          <cell r="E804">
            <v>3.7887296667049961</v>
          </cell>
          <cell r="F804">
            <v>4.4068731108748871</v>
          </cell>
          <cell r="G804">
            <v>5.233825977900552</v>
          </cell>
          <cell r="H804">
            <v>5.4733702013605603</v>
          </cell>
          <cell r="I804">
            <v>4.9155095111748857</v>
          </cell>
        </row>
        <row r="805">
          <cell r="A805" t="str">
            <v>RHEM-SHLTHDH</v>
          </cell>
          <cell r="B805" t="str">
            <v>VAR_fin</v>
          </cell>
          <cell r="C805" t="str">
            <v>RHEM_LTH_DH</v>
          </cell>
          <cell r="D805">
            <v>3.4306234645622822</v>
          </cell>
          <cell r="E805">
            <v>3.82699966333838</v>
          </cell>
          <cell r="F805">
            <v>4.9654496005646234</v>
          </cell>
          <cell r="G805">
            <v>5.8911921236252685</v>
          </cell>
          <cell r="H805">
            <v>6.1608229918402708</v>
          </cell>
          <cell r="I805">
            <v>5.5328952544682348</v>
          </cell>
        </row>
        <row r="806">
          <cell r="A806" t="str">
            <v>RHEM-SHLTHDH</v>
          </cell>
          <cell r="B806" t="str">
            <v>VAR_ncap</v>
          </cell>
          <cell r="C806" t="str">
            <v>-</v>
          </cell>
          <cell r="D806">
            <v>4.8952582625503101E-8</v>
          </cell>
          <cell r="E806">
            <v>3.4602381561750301E-2</v>
          </cell>
          <cell r="F806">
            <v>0.17596690012045499</v>
          </cell>
          <cell r="G806">
            <v>3.09692052227355E-2</v>
          </cell>
          <cell r="H806">
            <v>4.5439322241309199E-2</v>
          </cell>
          <cell r="I806">
            <v>5.1801589617253903E-2</v>
          </cell>
        </row>
        <row r="807">
          <cell r="A807" t="str">
            <v>RHEM-SHLTHDH</v>
          </cell>
          <cell r="B807" t="str">
            <v>VAR_cap</v>
          </cell>
          <cell r="C807" t="str">
            <v>-</v>
          </cell>
          <cell r="D807">
            <v>0.31562551606427058</v>
          </cell>
          <cell r="E807">
            <v>0.27430580403624938</v>
          </cell>
          <cell r="F807">
            <v>0.43856783864998433</v>
          </cell>
          <cell r="G807">
            <v>0.41131481626104399</v>
          </cell>
          <cell r="H807">
            <v>0.38762083851990292</v>
          </cell>
          <cell r="I807">
            <v>0.39617873845088802</v>
          </cell>
        </row>
        <row r="808">
          <cell r="A808" t="str">
            <v>D-ITOT_SOLELC</v>
          </cell>
          <cell r="B808" t="str">
            <v>VAR_fout</v>
          </cell>
          <cell r="C808" t="str">
            <v>ITOT_ELC</v>
          </cell>
          <cell r="D808">
            <v>5.9191966462871686E-4</v>
          </cell>
          <cell r="E808">
            <v>4.8481078204519843</v>
          </cell>
          <cell r="F808">
            <v>9.5930810059126017</v>
          </cell>
          <cell r="G808">
            <v>17.560808549758274</v>
          </cell>
          <cell r="H808">
            <v>32.153061947566094</v>
          </cell>
          <cell r="I808">
            <v>43.72091560195274</v>
          </cell>
        </row>
        <row r="809">
          <cell r="A809" t="str">
            <v>D-ITOT_SOLELC</v>
          </cell>
          <cell r="B809" t="str">
            <v>VAR_fout</v>
          </cell>
          <cell r="C809" t="str">
            <v>ELC5</v>
          </cell>
          <cell r="D809">
            <v>3.5173620800429024</v>
          </cell>
          <cell r="E809">
            <v>1.7289601521068715E-3</v>
          </cell>
          <cell r="F809">
            <v>1.4209129725531395E-3</v>
          </cell>
          <cell r="G809">
            <v>0.17608192645992218</v>
          </cell>
          <cell r="H809">
            <v>6.9474070974127793</v>
          </cell>
          <cell r="I809">
            <v>18.8793447061657</v>
          </cell>
        </row>
        <row r="810">
          <cell r="A810" t="str">
            <v>D-ITOT_SOLELC</v>
          </cell>
          <cell r="B810" t="str">
            <v>VAR_fin</v>
          </cell>
          <cell r="C810" t="str">
            <v>ITOT_SOL_ELC</v>
          </cell>
          <cell r="D810">
            <v>3.517953999707534</v>
          </cell>
          <cell r="E810">
            <v>4.8498358563541837</v>
          </cell>
          <cell r="F810">
            <v>9.5944993976618136</v>
          </cell>
          <cell r="G810">
            <v>17.736887493723508</v>
          </cell>
          <cell r="H810">
            <v>39.100465857077438</v>
          </cell>
          <cell r="I810">
            <v>62.60025769442899</v>
          </cell>
        </row>
        <row r="811">
          <cell r="A811" t="str">
            <v>D-SWOD</v>
          </cell>
          <cell r="B811" t="str">
            <v>VAR_fout</v>
          </cell>
          <cell r="C811" t="str">
            <v>SWOD</v>
          </cell>
          <cell r="D811">
            <v>8.5743691264718152</v>
          </cell>
          <cell r="E811">
            <v>6.5909371527800351</v>
          </cell>
          <cell r="F811">
            <v>10.798952770920419</v>
          </cell>
          <cell r="G811">
            <v>11.328643351856952</v>
          </cell>
          <cell r="H811">
            <v>9.4780832928477672</v>
          </cell>
          <cell r="I811">
            <v>7.0155122804319845</v>
          </cell>
        </row>
        <row r="812">
          <cell r="A812" t="str">
            <v>D-SWOD</v>
          </cell>
          <cell r="B812" t="str">
            <v>VAR_fin</v>
          </cell>
          <cell r="C812" t="str">
            <v>WOD</v>
          </cell>
          <cell r="D812">
            <v>8.5743691264718152</v>
          </cell>
          <cell r="E812">
            <v>6.5909371527800351</v>
          </cell>
          <cell r="F812">
            <v>10.798952770920419</v>
          </cell>
          <cell r="G812">
            <v>11.328643351856952</v>
          </cell>
          <cell r="H812">
            <v>9.4780832928477672</v>
          </cell>
          <cell r="I812">
            <v>7.0155122804319845</v>
          </cell>
        </row>
        <row r="813">
          <cell r="A813" t="str">
            <v>ITOT-PROCESSCO2CCS</v>
          </cell>
          <cell r="B813" t="str">
            <v>VAR_fout</v>
          </cell>
          <cell r="C813" t="str">
            <v>CO2_O</v>
          </cell>
          <cell r="H813">
            <v>9.5377483982425834E-2</v>
          </cell>
          <cell r="I813">
            <v>1031.8784233636054</v>
          </cell>
        </row>
        <row r="814">
          <cell r="A814" t="str">
            <v>ITOT-PROCESSCO2CCS</v>
          </cell>
          <cell r="B814" t="str">
            <v>VAR_fout</v>
          </cell>
          <cell r="C814" t="str">
            <v>CO2</v>
          </cell>
          <cell r="H814">
            <v>-9.5377483982425695E-2</v>
          </cell>
          <cell r="I814">
            <v>-1031.87842336361</v>
          </cell>
        </row>
        <row r="815">
          <cell r="A815" t="str">
            <v>ITOT-PROCESSCO2CCS</v>
          </cell>
          <cell r="B815" t="str">
            <v>VAR_fin</v>
          </cell>
          <cell r="C815" t="str">
            <v>ITOT_ELC</v>
          </cell>
          <cell r="H815">
            <v>2.0197584843337219E-4</v>
          </cell>
          <cell r="I815">
            <v>2.1851543082994018</v>
          </cell>
        </row>
        <row r="816">
          <cell r="A816" t="str">
            <v>ITOT-PROCESSCO2CCS</v>
          </cell>
          <cell r="B816" t="str">
            <v>VAR_fin</v>
          </cell>
          <cell r="C816" t="str">
            <v>ITOT_LTH_DH</v>
          </cell>
          <cell r="H816">
            <v>7.8546163279644813E-5</v>
          </cell>
          <cell r="I816">
            <v>0.84978223100532302</v>
          </cell>
        </row>
        <row r="817">
          <cell r="A817" t="str">
            <v>ITOT-PROCESSCO2CCS</v>
          </cell>
          <cell r="B817" t="str">
            <v>VAR_ncap</v>
          </cell>
          <cell r="C817" t="str">
            <v>-</v>
          </cell>
          <cell r="H817">
            <v>0.26680752759522303</v>
          </cell>
          <cell r="I817">
            <v>3015.9508903574001</v>
          </cell>
        </row>
        <row r="818">
          <cell r="A818" t="str">
            <v>ITOT-PROCESSCO2CCS</v>
          </cell>
          <cell r="B818" t="str">
            <v>VAR_cap</v>
          </cell>
          <cell r="C818" t="str">
            <v>-</v>
          </cell>
          <cell r="H818">
            <v>0.26680752759522303</v>
          </cell>
          <cell r="I818">
            <v>3016.2176978849998</v>
          </cell>
        </row>
        <row r="819">
          <cell r="A819" t="str">
            <v>D-RSH2R</v>
          </cell>
          <cell r="B819" t="str">
            <v>VAR_fout</v>
          </cell>
          <cell r="C819" t="str">
            <v>RSH2</v>
          </cell>
          <cell r="G819">
            <v>1.3984117468801478E-3</v>
          </cell>
          <cell r="H819">
            <v>1.3995523869855858E-3</v>
          </cell>
          <cell r="I819">
            <v>6.7089418570623848E-4</v>
          </cell>
        </row>
        <row r="820">
          <cell r="A820" t="str">
            <v>D-RSH2R</v>
          </cell>
          <cell r="B820" t="str">
            <v>VAR_fin</v>
          </cell>
          <cell r="C820" t="str">
            <v>H2</v>
          </cell>
          <cell r="G820">
            <v>1.3984117468801478E-3</v>
          </cell>
          <cell r="H820">
            <v>1.3995523869855858E-3</v>
          </cell>
          <cell r="I820">
            <v>6.7089418570623848E-4</v>
          </cell>
        </row>
        <row r="821">
          <cell r="A821" t="str">
            <v>D-RSH2R</v>
          </cell>
          <cell r="B821" t="str">
            <v>VAR_ncap</v>
          </cell>
          <cell r="C821" t="str">
            <v>-</v>
          </cell>
          <cell r="G821">
            <v>9.4100613151946896E-5</v>
          </cell>
          <cell r="H821">
            <v>1.19249080154354E-4</v>
          </cell>
          <cell r="I821">
            <v>3.0958883502237499E-5</v>
          </cell>
        </row>
        <row r="822">
          <cell r="A822" t="str">
            <v>D-RSH2R</v>
          </cell>
          <cell r="B822" t="str">
            <v>VAR_cap</v>
          </cell>
          <cell r="C822" t="str">
            <v>-</v>
          </cell>
          <cell r="G822">
            <v>9.4100613151946896E-5</v>
          </cell>
          <cell r="H822">
            <v>1.28019370153324E-4</v>
          </cell>
          <cell r="I822">
            <v>7.1804227109823005E-5</v>
          </cell>
        </row>
        <row r="823">
          <cell r="A823" t="str">
            <v>SCOM-SHLTHCHPBIO</v>
          </cell>
          <cell r="B823" t="str">
            <v>VAR_fout</v>
          </cell>
          <cell r="C823" t="str">
            <v>SCOM-SHLTHC-BIO</v>
          </cell>
          <cell r="D823">
            <v>1.4100664028149119</v>
          </cell>
          <cell r="E823">
            <v>1.5273707223859767</v>
          </cell>
        </row>
        <row r="824">
          <cell r="A824" t="str">
            <v>SCOM-SHLTHCHPBIO</v>
          </cell>
          <cell r="B824" t="str">
            <v>VAR_fin</v>
          </cell>
          <cell r="C824" t="str">
            <v>SCOM_LTH_CHPBIO_ON</v>
          </cell>
          <cell r="D824">
            <v>1.4243094977928392</v>
          </cell>
          <cell r="E824">
            <v>1.5427987094807849</v>
          </cell>
        </row>
        <row r="825">
          <cell r="A825" t="str">
            <v>SCOM-SHLTHCHPBIO</v>
          </cell>
          <cell r="B825" t="str">
            <v>VAR_fin</v>
          </cell>
          <cell r="C825" t="str">
            <v>SCOMLTHCHPC</v>
          </cell>
          <cell r="D825">
            <v>1.4100664028149119</v>
          </cell>
          <cell r="E825">
            <v>1.5273707223859767</v>
          </cell>
        </row>
        <row r="826">
          <cell r="A826" t="str">
            <v>SCOM-SHLTHCHPBIO</v>
          </cell>
          <cell r="B826" t="str">
            <v>VAR_ncap</v>
          </cell>
          <cell r="C826" t="str">
            <v>-</v>
          </cell>
          <cell r="D826">
            <v>7.6134213122807803E-8</v>
          </cell>
          <cell r="E826">
            <v>3.2573083033486501E-2</v>
          </cell>
          <cell r="F826">
            <v>3.0972669387825499E-2</v>
          </cell>
          <cell r="G826">
            <v>2.63982055308878E-2</v>
          </cell>
          <cell r="H826">
            <v>3.2547543342259601E-2</v>
          </cell>
          <cell r="I826">
            <v>5.0530380182261699E-2</v>
          </cell>
        </row>
        <row r="827">
          <cell r="A827" t="str">
            <v>SCOM-SHLTHCHPBIO</v>
          </cell>
          <cell r="B827" t="str">
            <v>VAR_cap</v>
          </cell>
          <cell r="C827" t="str">
            <v>-</v>
          </cell>
          <cell r="D827">
            <v>0.10913976371325212</v>
          </cell>
          <cell r="E827">
            <v>0.1209441121349782</v>
          </cell>
          <cell r="F827">
            <v>9.5695855929973775E-2</v>
          </cell>
          <cell r="G827">
            <v>8.3477501284016986E-2</v>
          </cell>
          <cell r="H827">
            <v>7.7080993989373514E-2</v>
          </cell>
          <cell r="I827">
            <v>7.7080774496255E-2</v>
          </cell>
        </row>
        <row r="828">
          <cell r="A828" t="str">
            <v>D-RSH2</v>
          </cell>
          <cell r="B828" t="str">
            <v>VAR_fout</v>
          </cell>
          <cell r="C828" t="str">
            <v>RSH2</v>
          </cell>
          <cell r="G828">
            <v>1.2122522240278269E-3</v>
          </cell>
          <cell r="H828">
            <v>1.0429354775299403E-3</v>
          </cell>
          <cell r="I828">
            <v>7.9691806065680605E-4</v>
          </cell>
        </row>
        <row r="829">
          <cell r="A829" t="str">
            <v>D-RSH2</v>
          </cell>
          <cell r="B829" t="str">
            <v>VAR_fin</v>
          </cell>
          <cell r="C829" t="str">
            <v>H2</v>
          </cell>
          <cell r="G829">
            <v>1.2214876318465827E-3</v>
          </cell>
          <cell r="H829">
            <v>1.0508809646758699E-3</v>
          </cell>
          <cell r="I829">
            <v>8.0298929166172314E-4</v>
          </cell>
        </row>
        <row r="830">
          <cell r="A830" t="str">
            <v>D-RSH2</v>
          </cell>
          <cell r="B830" t="str">
            <v>VAR_ncap</v>
          </cell>
          <cell r="C830" t="str">
            <v>-</v>
          </cell>
          <cell r="G830">
            <v>1.10568136493103E-4</v>
          </cell>
          <cell r="H830">
            <v>1.9930415452551501E-6</v>
          </cell>
          <cell r="I830">
            <v>8.0980563376342705E-7</v>
          </cell>
        </row>
        <row r="831">
          <cell r="A831" t="str">
            <v>D-RSH2</v>
          </cell>
          <cell r="B831" t="str">
            <v>VAR_cap</v>
          </cell>
          <cell r="C831" t="str">
            <v>-</v>
          </cell>
          <cell r="G831">
            <v>1.10568136493103E-4</v>
          </cell>
          <cell r="H831">
            <v>1.34227069183681E-4</v>
          </cell>
          <cell r="I831">
            <v>1.3503687481744499E-4</v>
          </cell>
        </row>
        <row r="832">
          <cell r="A832" t="str">
            <v>RHES-SHNGABR</v>
          </cell>
          <cell r="B832" t="str">
            <v>VAR_fout</v>
          </cell>
          <cell r="C832" t="str">
            <v>CO2_R</v>
          </cell>
          <cell r="D832">
            <v>1043.13528915139</v>
          </cell>
          <cell r="E832">
            <v>1118.2298770974801</v>
          </cell>
          <cell r="F832">
            <v>642.00334227958399</v>
          </cell>
          <cell r="G832">
            <v>457.19838391497399</v>
          </cell>
          <cell r="H832">
            <v>144.900018033912</v>
          </cell>
          <cell r="I832">
            <v>56.913241943147597</v>
          </cell>
        </row>
        <row r="833">
          <cell r="A833" t="str">
            <v>RHES-SHNGABR</v>
          </cell>
          <cell r="B833" t="str">
            <v>VAR_fout</v>
          </cell>
          <cell r="C833" t="str">
            <v>RHES-SHNGA</v>
          </cell>
          <cell r="D833">
            <v>17.570541217975485</v>
          </cell>
          <cell r="E833">
            <v>18.835432326996607</v>
          </cell>
          <cell r="F833">
            <v>10.410552064226851</v>
          </cell>
          <cell r="G833">
            <v>7.4246326551565822</v>
          </cell>
          <cell r="H833">
            <v>2.3533260896191712</v>
          </cell>
          <cell r="I833">
            <v>0.94539477809474703</v>
          </cell>
        </row>
        <row r="834">
          <cell r="A834" t="str">
            <v>RHES-SHNGABR</v>
          </cell>
          <cell r="B834" t="str">
            <v>VAR_fin</v>
          </cell>
          <cell r="C834" t="str">
            <v>RNGA</v>
          </cell>
          <cell r="D834">
            <v>18.495306545237341</v>
          </cell>
          <cell r="E834">
            <v>19.826770870522743</v>
          </cell>
          <cell r="F834">
            <v>11.383037983680572</v>
          </cell>
          <cell r="G834">
            <v>8.1063543247335996</v>
          </cell>
          <cell r="H834">
            <v>2.5691492559204279</v>
          </cell>
          <cell r="I834">
            <v>1.009100034452973</v>
          </cell>
        </row>
        <row r="835">
          <cell r="A835" t="str">
            <v>RHES-SHNGABR</v>
          </cell>
          <cell r="B835" t="str">
            <v>VAR_ncap</v>
          </cell>
          <cell r="C835" t="str">
            <v>-</v>
          </cell>
          <cell r="E835">
            <v>9.9764697733279104E-2</v>
          </cell>
          <cell r="F835">
            <v>1.2915149149257801E-7</v>
          </cell>
          <cell r="G835">
            <v>3.0267590794819498E-7</v>
          </cell>
          <cell r="H835">
            <v>0.159234918909503</v>
          </cell>
          <cell r="I835">
            <v>1.2780196783405199E-7</v>
          </cell>
        </row>
        <row r="836">
          <cell r="A836" t="str">
            <v>RHES-SHNGABR</v>
          </cell>
          <cell r="B836" t="str">
            <v>VAR_cap</v>
          </cell>
          <cell r="C836" t="str">
            <v>-</v>
          </cell>
          <cell r="D836">
            <v>1.4219190615860799</v>
          </cell>
          <cell r="E836">
            <v>1.5216837047408043</v>
          </cell>
          <cell r="F836">
            <v>1.3159863237659604</v>
          </cell>
          <cell r="G836">
            <v>1.3159451760140715</v>
          </cell>
          <cell r="H836">
            <v>0.19014143037676742</v>
          </cell>
          <cell r="I836">
            <v>8.7209140258566908E-2</v>
          </cell>
        </row>
        <row r="837">
          <cell r="A837" t="str">
            <v>SCOM-SHLTHCHPHFC</v>
          </cell>
          <cell r="B837" t="str">
            <v>VAR_ncap</v>
          </cell>
          <cell r="C837" t="str">
            <v>-</v>
          </cell>
          <cell r="G837">
            <v>4.4315095715819499E-5</v>
          </cell>
          <cell r="H837">
            <v>4.14955791663649E-5</v>
          </cell>
          <cell r="I837">
            <v>3.3041998376778701E-5</v>
          </cell>
        </row>
        <row r="838">
          <cell r="A838" t="str">
            <v>SCOM-SHLTHCHPHFC</v>
          </cell>
          <cell r="B838" t="str">
            <v>VAR_cap</v>
          </cell>
          <cell r="C838" t="str">
            <v>-</v>
          </cell>
          <cell r="G838">
            <v>4.4315095715819499E-5</v>
          </cell>
          <cell r="H838">
            <v>6.2713111932269898E-5</v>
          </cell>
          <cell r="I838">
            <v>4.76285813222826E-5</v>
          </cell>
        </row>
        <row r="839">
          <cell r="A839" t="str">
            <v>RHSA-WHNGABR</v>
          </cell>
          <cell r="B839" t="str">
            <v>VAR_fout</v>
          </cell>
          <cell r="C839" t="str">
            <v>RHSA-WHNGA</v>
          </cell>
          <cell r="D839">
            <v>6.3804525658242559</v>
          </cell>
          <cell r="E839">
            <v>5.5412109826091349</v>
          </cell>
          <cell r="F839">
            <v>5.1739845600474599</v>
          </cell>
          <cell r="G839">
            <v>3.5062208624083588</v>
          </cell>
          <cell r="H839">
            <v>1.4968136072074465</v>
          </cell>
          <cell r="I839">
            <v>0.65177728692711256</v>
          </cell>
        </row>
        <row r="840">
          <cell r="A840" t="str">
            <v>RHSA-WHNGABR</v>
          </cell>
          <cell r="B840" t="str">
            <v>VAR_fout</v>
          </cell>
          <cell r="C840" t="str">
            <v>CO2_R</v>
          </cell>
          <cell r="D840">
            <v>479.81003294998402</v>
          </cell>
          <cell r="E840">
            <v>414.48846076810997</v>
          </cell>
          <cell r="F840">
            <v>551.06863373936699</v>
          </cell>
          <cell r="G840">
            <v>356.584537071348</v>
          </cell>
          <cell r="H840">
            <v>150.506635284775</v>
          </cell>
          <cell r="I840">
            <v>65.087136410146201</v>
          </cell>
        </row>
        <row r="841">
          <cell r="A841" t="str">
            <v>RHSA-WHNGABR</v>
          </cell>
          <cell r="B841" t="str">
            <v>VAR_fin</v>
          </cell>
          <cell r="C841" t="str">
            <v>RNGA</v>
          </cell>
          <cell r="D841">
            <v>8.5072700877656757</v>
          </cell>
          <cell r="E841">
            <v>7.3490861838317487</v>
          </cell>
          <cell r="F841">
            <v>9.7707204563717447</v>
          </cell>
          <cell r="G841">
            <v>6.3224208700593634</v>
          </cell>
          <cell r="H841">
            <v>2.6685573632052253</v>
          </cell>
          <cell r="I841">
            <v>1.1540272413146482</v>
          </cell>
        </row>
        <row r="842">
          <cell r="A842" t="str">
            <v>RHSA-WHNGABR</v>
          </cell>
          <cell r="B842" t="str">
            <v>VAR_ncap</v>
          </cell>
          <cell r="C842" t="str">
            <v>-</v>
          </cell>
          <cell r="E842">
            <v>5.8190886982126004E-7</v>
          </cell>
          <cell r="F842">
            <v>2.4828460222398999E-7</v>
          </cell>
          <cell r="G842">
            <v>4.7466918813122798E-7</v>
          </cell>
          <cell r="H842">
            <v>4.8955720781767499E-2</v>
          </cell>
          <cell r="I842">
            <v>4.5433130457353102E-7</v>
          </cell>
        </row>
        <row r="843">
          <cell r="A843" t="str">
            <v>RHSA-WHNGABR</v>
          </cell>
          <cell r="B843" t="str">
            <v>VAR_cap</v>
          </cell>
          <cell r="C843" t="str">
            <v>-</v>
          </cell>
          <cell r="D843">
            <v>0.43610075802020798</v>
          </cell>
          <cell r="E843">
            <v>0.43609862312797998</v>
          </cell>
          <cell r="F843">
            <v>0.43608757991867392</v>
          </cell>
          <cell r="G843">
            <v>0.43605828617183207</v>
          </cell>
          <cell r="H843">
            <v>0.10394793339213089</v>
          </cell>
          <cell r="I843">
            <v>5.8789431994176258E-2</v>
          </cell>
        </row>
        <row r="844">
          <cell r="A844" t="str">
            <v>ITOT-SWHWSTBR</v>
          </cell>
          <cell r="B844" t="str">
            <v>VAR_fout</v>
          </cell>
          <cell r="C844" t="str">
            <v>ITOT-SWH</v>
          </cell>
          <cell r="D844">
            <v>4.1173661477400847</v>
          </cell>
          <cell r="E844">
            <v>4.2663178418469228</v>
          </cell>
          <cell r="F844">
            <v>2.96116830563804</v>
          </cell>
          <cell r="G844">
            <v>3.1368278562993241</v>
          </cell>
          <cell r="H844">
            <v>2.8825387471109885</v>
          </cell>
          <cell r="I844">
            <v>1.4961933620589877E-4</v>
          </cell>
        </row>
        <row r="845">
          <cell r="A845" t="str">
            <v>ITOT-SWHWSTBR</v>
          </cell>
          <cell r="B845" t="str">
            <v>VAR_fout</v>
          </cell>
          <cell r="C845" t="str">
            <v>CO2_I</v>
          </cell>
          <cell r="D845">
            <v>723.65829263310604</v>
          </cell>
          <cell r="E845">
            <v>749.83768129430803</v>
          </cell>
          <cell r="F845">
            <v>520.44776280911003</v>
          </cell>
          <cell r="G845">
            <v>551.32125959200198</v>
          </cell>
          <cell r="H845">
            <v>506.62802221950699</v>
          </cell>
          <cell r="I845">
            <v>2.5523298529241598E-2</v>
          </cell>
        </row>
        <row r="846">
          <cell r="A846" t="str">
            <v>ITOT-SWHWSTBR</v>
          </cell>
          <cell r="B846" t="str">
            <v>VAR_fin</v>
          </cell>
          <cell r="C846" t="str">
            <v>IWST</v>
          </cell>
          <cell r="D846">
            <v>7.7980419464774373</v>
          </cell>
          <cell r="E846">
            <v>8.0801474277403873</v>
          </cell>
          <cell r="F846">
            <v>5.608273306132654</v>
          </cell>
          <cell r="G846">
            <v>5.940961849051738</v>
          </cell>
          <cell r="H846">
            <v>5.4593536877102089</v>
          </cell>
          <cell r="I846">
            <v>2.750355444961376E-4</v>
          </cell>
        </row>
        <row r="847">
          <cell r="A847" t="str">
            <v>ITOT-SWHWSTBR</v>
          </cell>
          <cell r="B847" t="str">
            <v>VAR_ncap</v>
          </cell>
          <cell r="C847" t="str">
            <v>-</v>
          </cell>
          <cell r="E847">
            <v>1.05970040231425E-5</v>
          </cell>
          <cell r="F847">
            <v>1.2069548299777399E-5</v>
          </cell>
          <cell r="G847">
            <v>2.0446413666885201E-5</v>
          </cell>
          <cell r="H847">
            <v>4.8591936044381001E-2</v>
          </cell>
          <cell r="I847">
            <v>4.8851143018868199E-6</v>
          </cell>
        </row>
        <row r="848">
          <cell r="A848" t="str">
            <v>ITOT-SWHWSTBR</v>
          </cell>
          <cell r="B848" t="str">
            <v>VAR_cap</v>
          </cell>
          <cell r="C848" t="str">
            <v>-</v>
          </cell>
          <cell r="D848">
            <v>0.35954682816669398</v>
          </cell>
          <cell r="E848">
            <v>0.3212918126637907</v>
          </cell>
          <cell r="F848">
            <v>0.2130170434824229</v>
          </cell>
          <cell r="G848">
            <v>0.20130955597661176</v>
          </cell>
          <cell r="H848">
            <v>0.18150576061004936</v>
          </cell>
          <cell r="I848">
            <v>1.3716421052897831E-5</v>
          </cell>
        </row>
        <row r="849">
          <cell r="A849" t="str">
            <v>SCOM-SHSTG-ELC</v>
          </cell>
          <cell r="B849" t="str">
            <v>VAR_fout</v>
          </cell>
          <cell r="C849" t="str">
            <v>SCOM-SHAELCB</v>
          </cell>
          <cell r="D849">
            <v>6.8615987515900846E-6</v>
          </cell>
          <cell r="E849">
            <v>1.7991131736333718E-4</v>
          </cell>
          <cell r="F849">
            <v>1.1019444601676458E-5</v>
          </cell>
          <cell r="G849">
            <v>1.0340265334832132E-5</v>
          </cell>
          <cell r="H849">
            <v>2.1689036228062395E-5</v>
          </cell>
          <cell r="I849">
            <v>6.7985552390789794E-6</v>
          </cell>
        </row>
        <row r="850">
          <cell r="A850" t="str">
            <v>SCOM-SHSTG-ELC</v>
          </cell>
          <cell r="B850" t="str">
            <v>VAR_fin</v>
          </cell>
          <cell r="C850" t="str">
            <v>SCOM-SHAELCB</v>
          </cell>
          <cell r="D850">
            <v>8.9372783625713331E-6</v>
          </cell>
          <cell r="E850">
            <v>2.3442685723780131E-4</v>
          </cell>
          <cell r="F850">
            <v>1.3074261143197546E-5</v>
          </cell>
          <cell r="G850">
            <v>1.1459704501704261E-5</v>
          </cell>
          <cell r="H850">
            <v>2.5346239337514459E-5</v>
          </cell>
          <cell r="I850">
            <v>7.6391441773049394E-6</v>
          </cell>
        </row>
        <row r="851">
          <cell r="A851" t="str">
            <v>SCOM-SHSTG-ELC</v>
          </cell>
          <cell r="B851" t="str">
            <v>VAR_ncap</v>
          </cell>
          <cell r="C851" t="str">
            <v>-</v>
          </cell>
          <cell r="D851">
            <v>1.81972296902499E-3</v>
          </cell>
          <cell r="E851">
            <v>1.7193925124603801E-5</v>
          </cell>
          <cell r="F851">
            <v>9.0090791324463401E-3</v>
          </cell>
          <cell r="G851">
            <v>3.5256789589538903E-5</v>
          </cell>
          <cell r="H851">
            <v>4.3498885272470903E-3</v>
          </cell>
          <cell r="I851">
            <v>1.2685596580577099E-3</v>
          </cell>
        </row>
        <row r="852">
          <cell r="A852" t="str">
            <v>SCOM-SHSTG-ELC</v>
          </cell>
          <cell r="B852" t="str">
            <v>VAR_cap</v>
          </cell>
          <cell r="C852" t="str">
            <v>-</v>
          </cell>
          <cell r="D852">
            <v>1.81972296902499E-3</v>
          </cell>
          <cell r="E852">
            <v>8.0952870929060011E-5</v>
          </cell>
          <cell r="F852">
            <v>9.0809068312729391E-3</v>
          </cell>
          <cell r="G852">
            <v>9.0793424098177811E-3</v>
          </cell>
          <cell r="H852">
            <v>5.9813341244193451E-3</v>
          </cell>
          <cell r="I852">
            <v>4.421780788003744E-3</v>
          </cell>
        </row>
        <row r="853">
          <cell r="A853" t="str">
            <v>SCOM-SHNGABR</v>
          </cell>
          <cell r="B853" t="str">
            <v>VAR_fout</v>
          </cell>
          <cell r="C853" t="str">
            <v>CO2_S</v>
          </cell>
          <cell r="D853">
            <v>1440.94604931443</v>
          </cell>
          <cell r="E853">
            <v>1508.6876845930201</v>
          </cell>
          <cell r="F853">
            <v>1285.25526175341</v>
          </cell>
          <cell r="G853">
            <v>960.870333009403</v>
          </cell>
          <cell r="H853">
            <v>341.31624757835101</v>
          </cell>
          <cell r="I853">
            <v>118.75115027725499</v>
          </cell>
        </row>
        <row r="854">
          <cell r="A854" t="str">
            <v>SCOM-SHNGABR</v>
          </cell>
          <cell r="B854" t="str">
            <v>VAR_fout</v>
          </cell>
          <cell r="C854" t="str">
            <v>SCOM-SHNGA</v>
          </cell>
          <cell r="D854">
            <v>24.189716008183314</v>
          </cell>
          <cell r="E854">
            <v>25.326920916096864</v>
          </cell>
          <cell r="F854">
            <v>19.477091580797151</v>
          </cell>
          <cell r="G854">
            <v>14.742854205581388</v>
          </cell>
          <cell r="H854">
            <v>5.236893577808595</v>
          </cell>
          <cell r="I854">
            <v>1.8220261726672842</v>
          </cell>
        </row>
        <row r="855">
          <cell r="A855" t="str">
            <v>SCOM-SHNGABR</v>
          </cell>
          <cell r="B855" t="str">
            <v>VAR_fin</v>
          </cell>
          <cell r="C855" t="str">
            <v>SNGA</v>
          </cell>
          <cell r="D855">
            <v>25.548688817631803</v>
          </cell>
          <cell r="E855">
            <v>26.749781641720233</v>
          </cell>
          <cell r="F855">
            <v>22.788213860875985</v>
          </cell>
          <cell r="G855">
            <v>17.036708032081624</v>
          </cell>
          <cell r="H855">
            <v>6.0517065173466493</v>
          </cell>
          <cell r="I855">
            <v>2.1055168488875049</v>
          </cell>
        </row>
        <row r="856">
          <cell r="A856" t="str">
            <v>SCOM-SHNGABR</v>
          </cell>
          <cell r="B856" t="str">
            <v>VAR_ncap</v>
          </cell>
          <cell r="C856" t="str">
            <v>-</v>
          </cell>
          <cell r="D856">
            <v>1.77375990198188E-7</v>
          </cell>
          <cell r="E856">
            <v>1.1670817239642601E-6</v>
          </cell>
          <cell r="F856">
            <v>1.32276624962958E-6</v>
          </cell>
          <cell r="G856">
            <v>1.5382335357440801E-6</v>
          </cell>
          <cell r="H856">
            <v>2.2447754208526101E-5</v>
          </cell>
          <cell r="I856">
            <v>2.2224868561791399E-6</v>
          </cell>
        </row>
        <row r="857">
          <cell r="A857" t="str">
            <v>SCOM-SHNGABR</v>
          </cell>
          <cell r="B857" t="str">
            <v>VAR_cap</v>
          </cell>
          <cell r="C857" t="str">
            <v>-</v>
          </cell>
          <cell r="D857">
            <v>2.7746816752512102</v>
          </cell>
          <cell r="E857">
            <v>2.7705118912588431</v>
          </cell>
          <cell r="F857">
            <v>2.4232021634292669</v>
          </cell>
          <cell r="G857">
            <v>2.4231339568511956</v>
          </cell>
          <cell r="H857">
            <v>0.56851987768450984</v>
          </cell>
          <cell r="I857">
            <v>0.2404876704552153</v>
          </cell>
        </row>
        <row r="858">
          <cell r="A858" t="str">
            <v>RHEM-SHELCHP</v>
          </cell>
          <cell r="B858" t="str">
            <v>VAR_fout</v>
          </cell>
          <cell r="C858" t="str">
            <v>RHEM-SHAELCH</v>
          </cell>
          <cell r="D858">
            <v>9.9025293458433712</v>
          </cell>
          <cell r="E858">
            <v>11.655198636995767</v>
          </cell>
          <cell r="F858">
            <v>9.7017592874525196</v>
          </cell>
          <cell r="G858">
            <v>14.184802175986857</v>
          </cell>
          <cell r="H858">
            <v>21.493199546441815</v>
          </cell>
          <cell r="I858">
            <v>21.630919257390193</v>
          </cell>
        </row>
        <row r="859">
          <cell r="A859" t="str">
            <v>RHEM-SHELCHP</v>
          </cell>
          <cell r="B859" t="str">
            <v>VAR_fin</v>
          </cell>
          <cell r="C859" t="str">
            <v>RHEMELCHPC</v>
          </cell>
          <cell r="D859">
            <v>9.9025293458433712</v>
          </cell>
          <cell r="E859">
            <v>11.655198636995767</v>
          </cell>
          <cell r="F859">
            <v>9.7017592874525196</v>
          </cell>
          <cell r="G859">
            <v>14.184802175986857</v>
          </cell>
          <cell r="H859">
            <v>21.493199546441815</v>
          </cell>
          <cell r="I859">
            <v>21.630919257390193</v>
          </cell>
        </row>
        <row r="860">
          <cell r="A860" t="str">
            <v>RHEM-SHELCHP</v>
          </cell>
          <cell r="B860" t="str">
            <v>VAR_fin</v>
          </cell>
          <cell r="C860" t="str">
            <v>RHEM_ELC</v>
          </cell>
          <cell r="D860">
            <v>3.0945403881973919</v>
          </cell>
          <cell r="E860">
            <v>3.5825405492586109</v>
          </cell>
          <cell r="F860">
            <v>3.108478663498472</v>
          </cell>
          <cell r="G860">
            <v>4.1788505326055789</v>
          </cell>
          <cell r="H860">
            <v>5.6424122674552377</v>
          </cell>
          <cell r="I860">
            <v>5.1879038431630562</v>
          </cell>
        </row>
        <row r="861">
          <cell r="A861" t="str">
            <v>RHEM-SHELCHP</v>
          </cell>
          <cell r="B861" t="str">
            <v>VAR_ncap</v>
          </cell>
          <cell r="C861" t="str">
            <v>-</v>
          </cell>
          <cell r="D861">
            <v>2.5823305428069499E-6</v>
          </cell>
          <cell r="E861">
            <v>0.123760371190183</v>
          </cell>
          <cell r="F861">
            <v>9.5504034757140408E-7</v>
          </cell>
          <cell r="G861">
            <v>0.17868436008085201</v>
          </cell>
          <cell r="H861">
            <v>0.59689663158907902</v>
          </cell>
          <cell r="I861">
            <v>0.75864522447446003</v>
          </cell>
        </row>
        <row r="862">
          <cell r="A862" t="str">
            <v>RHEM-SHELCHP</v>
          </cell>
          <cell r="B862" t="str">
            <v>VAR_cap</v>
          </cell>
          <cell r="C862" t="str">
            <v>-</v>
          </cell>
          <cell r="D862">
            <v>0.6992545327225419</v>
          </cell>
          <cell r="E862">
            <v>0.82301482996560626</v>
          </cell>
          <cell r="F862">
            <v>0.82301519764477893</v>
          </cell>
          <cell r="G862">
            <v>1.0016996115144812</v>
          </cell>
          <cell r="H862">
            <v>1.517732307806106</v>
          </cell>
          <cell r="I862">
            <v>1.5297197353531464</v>
          </cell>
        </row>
        <row r="863">
          <cell r="A863" t="str">
            <v>RHNM-SHSTG-ELC</v>
          </cell>
          <cell r="B863" t="str">
            <v>VAR_fout</v>
          </cell>
          <cell r="C863" t="str">
            <v>RHNM-SHAELCB</v>
          </cell>
          <cell r="E863">
            <v>2.9214647548580428E-6</v>
          </cell>
          <cell r="F863">
            <v>1.3377163439312966E-5</v>
          </cell>
          <cell r="G863">
            <v>4.1406284071684665E-4</v>
          </cell>
          <cell r="H863">
            <v>3.2560486802024602E-4</v>
          </cell>
          <cell r="I863">
            <v>3.183891572489635E-4</v>
          </cell>
        </row>
        <row r="864">
          <cell r="A864" t="str">
            <v>RHNM-SHSTG-ELC</v>
          </cell>
          <cell r="B864" t="str">
            <v>VAR_fin</v>
          </cell>
          <cell r="C864" t="str">
            <v>RHNM-SHAELCB</v>
          </cell>
          <cell r="E864">
            <v>2.030092769330238E-7</v>
          </cell>
          <cell r="F864">
            <v>1.1415125709102711E-5</v>
          </cell>
          <cell r="G864">
            <v>4.1175920490161118E-4</v>
          </cell>
          <cell r="H864">
            <v>3.2411045123775963E-4</v>
          </cell>
          <cell r="I864">
            <v>3.1745916442402753E-4</v>
          </cell>
        </row>
        <row r="865">
          <cell r="A865" t="str">
            <v>RHNM-SHSTG-ELC</v>
          </cell>
          <cell r="B865" t="str">
            <v>VAR_ncap</v>
          </cell>
          <cell r="C865" t="str">
            <v>-</v>
          </cell>
          <cell r="D865">
            <v>1.5610188953286099E-4</v>
          </cell>
          <cell r="E865">
            <v>2.6950102596880899E-3</v>
          </cell>
          <cell r="F865">
            <v>5.00888119260884E-5</v>
          </cell>
          <cell r="G865">
            <v>5.2835530816073901E-5</v>
          </cell>
          <cell r="H865">
            <v>4.2871733236488002E-5</v>
          </cell>
          <cell r="I865">
            <v>3.5498434931017801E-5</v>
          </cell>
        </row>
        <row r="866">
          <cell r="A866" t="str">
            <v>RHNM-SHSTG-ELC</v>
          </cell>
          <cell r="B866" t="str">
            <v>VAR_cap</v>
          </cell>
          <cell r="C866" t="str">
            <v>-</v>
          </cell>
          <cell r="D866">
            <v>1.5610188953286099E-4</v>
          </cell>
          <cell r="E866">
            <v>2.8447104343694006E-3</v>
          </cell>
          <cell r="F866">
            <v>2.3882493340377821E-3</v>
          </cell>
          <cell r="G866">
            <v>1.6598276657394102E-3</v>
          </cell>
          <cell r="H866">
            <v>1.9943489382227852E-4</v>
          </cell>
          <cell r="I866">
            <v>8.4330253234023798E-5</v>
          </cell>
        </row>
        <row r="867">
          <cell r="A867" t="str">
            <v>D-RWOD</v>
          </cell>
          <cell r="B867" t="str">
            <v>VAR_fout</v>
          </cell>
          <cell r="C867" t="str">
            <v>RWOD</v>
          </cell>
          <cell r="D867">
            <v>13.722991611913137</v>
          </cell>
          <cell r="E867">
            <v>15.721946317597789</v>
          </cell>
          <cell r="F867">
            <v>17.76060367147608</v>
          </cell>
          <cell r="G867">
            <v>16.505434739165409</v>
          </cell>
          <cell r="H867">
            <v>12.458548925031302</v>
          </cell>
          <cell r="I867">
            <v>8.1968505715576132</v>
          </cell>
        </row>
        <row r="868">
          <cell r="A868" t="str">
            <v>D-RWOD</v>
          </cell>
          <cell r="B868" t="str">
            <v>VAR_fin</v>
          </cell>
          <cell r="C868" t="str">
            <v>WOD</v>
          </cell>
          <cell r="D868">
            <v>13.722991611913137</v>
          </cell>
          <cell r="E868">
            <v>15.721946317597789</v>
          </cell>
          <cell r="F868">
            <v>17.76060367147608</v>
          </cell>
          <cell r="G868">
            <v>16.505434739165409</v>
          </cell>
          <cell r="H868">
            <v>12.458548925031302</v>
          </cell>
          <cell r="I868">
            <v>8.1968505715576132</v>
          </cell>
        </row>
        <row r="869">
          <cell r="A869" t="str">
            <v>RHNS-SHLTHCHPWOD</v>
          </cell>
          <cell r="B869" t="str">
            <v>VAR_ncap</v>
          </cell>
          <cell r="C869" t="str">
            <v>-</v>
          </cell>
          <cell r="G869">
            <v>1.1475802181888301E-4</v>
          </cell>
          <cell r="H869">
            <v>1.2831584201759499E-4</v>
          </cell>
          <cell r="I869">
            <v>4.07520566919717E-5</v>
          </cell>
        </row>
        <row r="870">
          <cell r="A870" t="str">
            <v>RHNS-SHLTHCHPWOD</v>
          </cell>
          <cell r="B870" t="str">
            <v>VAR_cap</v>
          </cell>
          <cell r="C870" t="str">
            <v>-</v>
          </cell>
          <cell r="G870">
            <v>1.1475802181888301E-4</v>
          </cell>
          <cell r="H870">
            <v>2.0316374038314698E-4</v>
          </cell>
          <cell r="I870">
            <v>7.641296697666401E-5</v>
          </cell>
        </row>
        <row r="871">
          <cell r="A871" t="str">
            <v>RHNM-SHELCBR</v>
          </cell>
          <cell r="B871" t="str">
            <v>VAR_fout</v>
          </cell>
          <cell r="C871" t="str">
            <v>RHNM-SHAELCB</v>
          </cell>
          <cell r="E871">
            <v>0.15438664962373994</v>
          </cell>
          <cell r="F871">
            <v>4.0884327656775144E-4</v>
          </cell>
          <cell r="G871">
            <v>1.1982039366877377E-3</v>
          </cell>
          <cell r="H871">
            <v>1.5250891531803713E-3</v>
          </cell>
          <cell r="I871">
            <v>1.6704455454257027E-3</v>
          </cell>
        </row>
        <row r="872">
          <cell r="A872" t="str">
            <v>RHNM-SHELCBR</v>
          </cell>
          <cell r="B872" t="str">
            <v>VAR_fin</v>
          </cell>
          <cell r="C872" t="str">
            <v>RHNM_ELC</v>
          </cell>
          <cell r="E872">
            <v>0.16251226276183148</v>
          </cell>
          <cell r="F872">
            <v>4.3036134375552788E-4</v>
          </cell>
          <cell r="G872">
            <v>1.2612673017765657E-3</v>
          </cell>
          <cell r="H872">
            <v>1.6053570033477578E-3</v>
          </cell>
          <cell r="I872">
            <v>1.7583637320270551E-3</v>
          </cell>
        </row>
        <row r="873">
          <cell r="A873" t="str">
            <v>RHNM-SHELCBR</v>
          </cell>
          <cell r="B873" t="str">
            <v>VAR_ncap</v>
          </cell>
          <cell r="C873" t="str">
            <v>-</v>
          </cell>
          <cell r="E873">
            <v>1.21327618599143E-2</v>
          </cell>
        </row>
        <row r="874">
          <cell r="A874" t="str">
            <v>RHNM-SHELCBR</v>
          </cell>
          <cell r="B874" t="str">
            <v>VAR_cap</v>
          </cell>
          <cell r="C874" t="str">
            <v>-</v>
          </cell>
          <cell r="E874">
            <v>1.21327618599143E-2</v>
          </cell>
          <cell r="F874">
            <v>1.0150546859429409E-2</v>
          </cell>
          <cell r="G874">
            <v>7.0537771470566097E-3</v>
          </cell>
          <cell r="H874">
            <v>8.4739658902336149E-4</v>
          </cell>
          <cell r="I874">
            <v>3.5787097487283956E-4</v>
          </cell>
        </row>
        <row r="875">
          <cell r="A875" t="str">
            <v>RHNS-SHSTG-NGAHP</v>
          </cell>
          <cell r="B875" t="str">
            <v>VAR_fout</v>
          </cell>
          <cell r="C875" t="str">
            <v>RHNS-SHANGAH</v>
          </cell>
          <cell r="F875">
            <v>8.0231923628024896E-3</v>
          </cell>
          <cell r="G875">
            <v>7.6371622274740689E-2</v>
          </cell>
          <cell r="H875">
            <v>7.0764203251224053E-2</v>
          </cell>
          <cell r="I875">
            <v>0.17467276653384603</v>
          </cell>
        </row>
        <row r="876">
          <cell r="A876" t="str">
            <v>RHNS-SHSTG-NGAHP</v>
          </cell>
          <cell r="B876" t="str">
            <v>VAR_fin</v>
          </cell>
          <cell r="C876" t="str">
            <v>RHNS-SHANGAH</v>
          </cell>
          <cell r="F876">
            <v>8.0300889019204891E-3</v>
          </cell>
          <cell r="G876">
            <v>7.6380660494048458E-2</v>
          </cell>
          <cell r="H876">
            <v>7.0771458289250383E-2</v>
          </cell>
          <cell r="I876">
            <v>0.17468493691866432</v>
          </cell>
        </row>
        <row r="877">
          <cell r="A877" t="str">
            <v>RHNS-SHSTG-NGAHP</v>
          </cell>
          <cell r="B877" t="str">
            <v>VAR_ncap</v>
          </cell>
          <cell r="C877" t="str">
            <v>-</v>
          </cell>
          <cell r="D877">
            <v>1.04201522573905E-5</v>
          </cell>
          <cell r="E877">
            <v>5.1076682973087002E-6</v>
          </cell>
          <cell r="F877">
            <v>2.2118948560399701E-3</v>
          </cell>
          <cell r="G877">
            <v>5.6700694769268702E-3</v>
          </cell>
          <cell r="H877">
            <v>5.8959940497161703E-3</v>
          </cell>
          <cell r="I877">
            <v>1.00253090823754E-2</v>
          </cell>
        </row>
        <row r="878">
          <cell r="A878" t="str">
            <v>RHNS-SHSTG-NGAHP</v>
          </cell>
          <cell r="B878" t="str">
            <v>VAR_cap</v>
          </cell>
          <cell r="C878" t="str">
            <v>-</v>
          </cell>
          <cell r="D878">
            <v>1.04201522573905E-5</v>
          </cell>
          <cell r="E878">
            <v>3.3102239083299845E-7</v>
          </cell>
          <cell r="F878">
            <v>2.2094558540316609E-3</v>
          </cell>
          <cell r="G878">
            <v>7.8714091931313974E-3</v>
          </cell>
          <cell r="H878">
            <v>1.3035869773167954E-2</v>
          </cell>
          <cell r="I878">
            <v>1.5508810826955923E-2</v>
          </cell>
        </row>
        <row r="879">
          <cell r="A879" t="str">
            <v>RHNS-SHLTHDH</v>
          </cell>
          <cell r="B879" t="str">
            <v>VAR_fout</v>
          </cell>
          <cell r="C879" t="str">
            <v>RHNS-SHLTHD</v>
          </cell>
          <cell r="E879">
            <v>5.3916620715395727E-2</v>
          </cell>
          <cell r="F879">
            <v>5.1302743554062176E-2</v>
          </cell>
          <cell r="G879">
            <v>0.19542144396866229</v>
          </cell>
          <cell r="H879">
            <v>0.21147493390823024</v>
          </cell>
          <cell r="I879">
            <v>0.23630526802808413</v>
          </cell>
        </row>
        <row r="880">
          <cell r="A880" t="str">
            <v>RHNS-SHLTHDH</v>
          </cell>
          <cell r="B880" t="str">
            <v>VAR_fin</v>
          </cell>
          <cell r="C880" t="str">
            <v>RHNS_LTH_DH</v>
          </cell>
          <cell r="E880">
            <v>5.4461233045854263E-2</v>
          </cell>
          <cell r="F880">
            <v>5.6669611254943568E-2</v>
          </cell>
          <cell r="G880">
            <v>0.21514135135622456</v>
          </cell>
          <cell r="H880">
            <v>0.23266770821946609</v>
          </cell>
          <cell r="I880">
            <v>0.25978109612926764</v>
          </cell>
        </row>
        <row r="881">
          <cell r="A881" t="str">
            <v>RHNS-SHLTHDH</v>
          </cell>
          <cell r="B881" t="str">
            <v>VAR_fin</v>
          </cell>
          <cell r="C881" t="str">
            <v>RHNSLTHDHC</v>
          </cell>
          <cell r="E881">
            <v>5.3916620715395727E-2</v>
          </cell>
          <cell r="F881">
            <v>5.1302743554062176E-2</v>
          </cell>
          <cell r="G881">
            <v>0.19542144396866229</v>
          </cell>
          <cell r="H881">
            <v>0.21147493390823024</v>
          </cell>
          <cell r="I881">
            <v>0.23630526802808413</v>
          </cell>
        </row>
        <row r="882">
          <cell r="A882" t="str">
            <v>RHNS-SHLTHDH</v>
          </cell>
          <cell r="B882" t="str">
            <v>VAR_ncap</v>
          </cell>
          <cell r="C882" t="str">
            <v>-</v>
          </cell>
          <cell r="E882">
            <v>6.2538855138256199E-3</v>
          </cell>
          <cell r="F882">
            <v>1.23097215994394E-2</v>
          </cell>
          <cell r="G882">
            <v>9.0306744698529506E-3</v>
          </cell>
          <cell r="H882">
            <v>8.1012911404941199E-3</v>
          </cell>
          <cell r="I882">
            <v>9.1987461251937502E-3</v>
          </cell>
        </row>
        <row r="883">
          <cell r="A883" t="str">
            <v>RHNS-SHLTHDH</v>
          </cell>
          <cell r="B883" t="str">
            <v>VAR_cap</v>
          </cell>
          <cell r="C883" t="str">
            <v>-</v>
          </cell>
          <cell r="E883">
            <v>6.2538855138256199E-3</v>
          </cell>
          <cell r="F883">
            <v>1.6289941737464252E-2</v>
          </cell>
          <cell r="G883">
            <v>1.6889390389801098E-2</v>
          </cell>
          <cell r="H883">
            <v>2.0425048582918395E-2</v>
          </cell>
          <cell r="I883">
            <v>2.030749893053E-2</v>
          </cell>
        </row>
        <row r="884">
          <cell r="A884" t="str">
            <v>ITOT-SWHNGAHP</v>
          </cell>
          <cell r="B884" t="str">
            <v>VAR_fout</v>
          </cell>
          <cell r="C884" t="str">
            <v>ITOT-SWHANGAH</v>
          </cell>
          <cell r="F884">
            <v>9.5861176327871611E-3</v>
          </cell>
          <cell r="G884">
            <v>9.5942025470346307E-3</v>
          </cell>
          <cell r="H884">
            <v>1.0791872091376952E-2</v>
          </cell>
          <cell r="I884">
            <v>3.8056508665593215E-3</v>
          </cell>
        </row>
        <row r="885">
          <cell r="A885" t="str">
            <v>ITOT-SWHNGAHP</v>
          </cell>
          <cell r="B885" t="str">
            <v>VAR_fout</v>
          </cell>
          <cell r="C885" t="str">
            <v>CO2_I</v>
          </cell>
          <cell r="F885">
            <v>0.286756198899418</v>
          </cell>
          <cell r="G885">
            <v>0.28149835355862601</v>
          </cell>
          <cell r="H885">
            <v>0.304951081730787</v>
          </cell>
          <cell r="I885">
            <v>0.103710049443235</v>
          </cell>
        </row>
        <row r="886">
          <cell r="A886" t="str">
            <v>ITOT-SWHNGAHP</v>
          </cell>
          <cell r="B886" t="str">
            <v>VAR_fin</v>
          </cell>
          <cell r="C886" t="str">
            <v>ITOTELCHPC</v>
          </cell>
          <cell r="F886">
            <v>9.5861176327871611E-3</v>
          </cell>
          <cell r="G886">
            <v>9.5942025470346307E-3</v>
          </cell>
          <cell r="H886">
            <v>1.0791872091376952E-2</v>
          </cell>
          <cell r="I886">
            <v>3.8056508665593215E-3</v>
          </cell>
        </row>
        <row r="887">
          <cell r="A887" t="str">
            <v>ITOT-SWHNGAHP</v>
          </cell>
          <cell r="B887" t="str">
            <v>VAR_fin</v>
          </cell>
          <cell r="C887" t="str">
            <v>INGA</v>
          </cell>
          <cell r="F887">
            <v>5.084329767720169E-3</v>
          </cell>
          <cell r="G887">
            <v>4.9911055595501059E-3</v>
          </cell>
          <cell r="H887">
            <v>5.4069340732408981E-3</v>
          </cell>
          <cell r="I887">
            <v>1.8388306638871376E-3</v>
          </cell>
        </row>
        <row r="888">
          <cell r="A888" t="str">
            <v>ITOT-SWHNGAHP</v>
          </cell>
          <cell r="B888" t="str">
            <v>VAR_ncap</v>
          </cell>
          <cell r="C888" t="str">
            <v>-</v>
          </cell>
          <cell r="E888">
            <v>1.37776165905333E-4</v>
          </cell>
          <cell r="F888">
            <v>5.6251943761973097E-4</v>
          </cell>
          <cell r="G888">
            <v>8.0022646604436298E-6</v>
          </cell>
          <cell r="H888">
            <v>3.2042545445050901E-4</v>
          </cell>
          <cell r="I888">
            <v>4.0195570101272702E-6</v>
          </cell>
        </row>
        <row r="889">
          <cell r="A889" t="str">
            <v>ITOT-SWHNGAHP</v>
          </cell>
          <cell r="B889" t="str">
            <v>VAR_cap</v>
          </cell>
          <cell r="C889" t="str">
            <v>-</v>
          </cell>
          <cell r="E889">
            <v>1.37776165905333E-4</v>
          </cell>
          <cell r="F889">
            <v>6.9932243709570647E-4</v>
          </cell>
          <cell r="G889">
            <v>7.0594987664390979E-4</v>
          </cell>
          <cell r="H889">
            <v>7.6261740951419409E-4</v>
          </cell>
          <cell r="I889">
            <v>3.7643712690075995E-4</v>
          </cell>
        </row>
        <row r="890">
          <cell r="A890" t="str">
            <v>RHSA-WHLFOBR</v>
          </cell>
          <cell r="B890" t="str">
            <v>VAR_fout</v>
          </cell>
          <cell r="C890" t="str">
            <v>CO2_R</v>
          </cell>
          <cell r="D890">
            <v>726.712472457329</v>
          </cell>
          <cell r="E890">
            <v>571.67152729428301</v>
          </cell>
          <cell r="F890">
            <v>636.62508265287704</v>
          </cell>
          <cell r="G890">
            <v>287.60126495115099</v>
          </cell>
          <cell r="H890">
            <v>96.515004791850004</v>
          </cell>
          <cell r="I890">
            <v>6.4862899371640301</v>
          </cell>
        </row>
        <row r="891">
          <cell r="A891" t="str">
            <v>RHSA-WHLFOBR</v>
          </cell>
          <cell r="B891" t="str">
            <v>VAR_fout</v>
          </cell>
          <cell r="C891" t="str">
            <v>RHSA-WHLFO</v>
          </cell>
          <cell r="D891">
            <v>6.9844595385428523</v>
          </cell>
          <cell r="E891">
            <v>5.5428350820312913</v>
          </cell>
          <cell r="F891">
            <v>4.3352758741181496</v>
          </cell>
          <cell r="G891">
            <v>2.1003520009392616</v>
          </cell>
          <cell r="H891">
            <v>0.73283198195577548</v>
          </cell>
          <cell r="I891">
            <v>5.2125075207267814E-2</v>
          </cell>
        </row>
        <row r="892">
          <cell r="A892" t="str">
            <v>RHSA-WHLFOBR</v>
          </cell>
          <cell r="B892" t="str">
            <v>VAR_fin</v>
          </cell>
          <cell r="C892" t="str">
            <v>RLFO</v>
          </cell>
          <cell r="D892">
            <v>9.8604134661781444</v>
          </cell>
          <cell r="E892">
            <v>7.7567371410350496</v>
          </cell>
          <cell r="F892">
            <v>8.6380608229698446</v>
          </cell>
          <cell r="G892">
            <v>3.9023238120915997</v>
          </cell>
          <cell r="H892">
            <v>1.3095658723453185</v>
          </cell>
          <cell r="I892">
            <v>8.8009361426920382E-2</v>
          </cell>
        </row>
        <row r="893">
          <cell r="A893" t="str">
            <v>RHSA-WHLFOBR</v>
          </cell>
          <cell r="B893" t="str">
            <v>VAR_ncap</v>
          </cell>
          <cell r="C893" t="str">
            <v>-</v>
          </cell>
          <cell r="E893">
            <v>4.1019818718742001E-7</v>
          </cell>
          <cell r="F893">
            <v>1.7565133830346501E-7</v>
          </cell>
          <cell r="G893">
            <v>3.1630303283751699E-7</v>
          </cell>
          <cell r="H893">
            <v>4.3158798718189801E-4</v>
          </cell>
        </row>
        <row r="894">
          <cell r="A894" t="str">
            <v>RHSA-WHLFOBR</v>
          </cell>
          <cell r="B894" t="str">
            <v>VAR_cap</v>
          </cell>
          <cell r="C894" t="str">
            <v>-</v>
          </cell>
          <cell r="D894">
            <v>0.47738433216181703</v>
          </cell>
          <cell r="E894">
            <v>0.47738088150648805</v>
          </cell>
          <cell r="F894">
            <v>0.31246890746999156</v>
          </cell>
          <cell r="G894">
            <v>0.20163586751776535</v>
          </cell>
          <cell r="H894">
            <v>5.0099470618437864E-2</v>
          </cell>
          <cell r="I894">
            <v>5.2717762563932007E-3</v>
          </cell>
        </row>
        <row r="895">
          <cell r="A895" t="str">
            <v>D-IWST</v>
          </cell>
          <cell r="B895" t="str">
            <v>VAR_fout</v>
          </cell>
          <cell r="C895" t="str">
            <v>CO2</v>
          </cell>
          <cell r="D895">
            <v>1068.1283717910301</v>
          </cell>
          <cell r="E895">
            <v>1109.0392320055</v>
          </cell>
          <cell r="F895">
            <v>1024.6412024864101</v>
          </cell>
          <cell r="G895">
            <v>1085.4288998115401</v>
          </cell>
          <cell r="H895">
            <v>997.43112997149603</v>
          </cell>
          <cell r="I895">
            <v>1086.8541595755401</v>
          </cell>
        </row>
        <row r="896">
          <cell r="A896" t="str">
            <v>D-IWST</v>
          </cell>
          <cell r="B896" t="str">
            <v>VAR_fout</v>
          </cell>
          <cell r="C896" t="str">
            <v>IWST</v>
          </cell>
          <cell r="D896">
            <v>11.510004006368872</v>
          </cell>
          <cell r="E896">
            <v>11.950853793162704</v>
          </cell>
          <cell r="F896">
            <v>11.041392268172478</v>
          </cell>
          <cell r="G896">
            <v>11.696432110038103</v>
          </cell>
          <cell r="H896">
            <v>10.748180279865254</v>
          </cell>
          <cell r="I896">
            <v>11.711790512667442</v>
          </cell>
        </row>
        <row r="897">
          <cell r="A897" t="str">
            <v>D-IWST</v>
          </cell>
          <cell r="B897" t="str">
            <v>VAR_fin</v>
          </cell>
          <cell r="C897" t="str">
            <v>WSTNREN</v>
          </cell>
          <cell r="D897">
            <v>11.510004006368872</v>
          </cell>
          <cell r="E897">
            <v>11.950853793162704</v>
          </cell>
          <cell r="F897">
            <v>11.041392268172478</v>
          </cell>
          <cell r="G897">
            <v>11.696432110038103</v>
          </cell>
          <cell r="H897">
            <v>10.748180279865254</v>
          </cell>
          <cell r="I897">
            <v>11.711790512667442</v>
          </cell>
        </row>
        <row r="898">
          <cell r="A898" t="str">
            <v>RHES-SHLFOBR</v>
          </cell>
          <cell r="B898" t="str">
            <v>VAR_fout</v>
          </cell>
          <cell r="C898" t="str">
            <v>CO2_R</v>
          </cell>
          <cell r="D898">
            <v>1783.66273604044</v>
          </cell>
          <cell r="E898">
            <v>1640.9693779555</v>
          </cell>
          <cell r="F898">
            <v>1200.9748379960399</v>
          </cell>
          <cell r="G898">
            <v>574.84539334087106</v>
          </cell>
          <cell r="H898">
            <v>106.876721504119</v>
          </cell>
          <cell r="I898">
            <v>5.86011339972631</v>
          </cell>
        </row>
        <row r="899">
          <cell r="A899" t="str">
            <v>RHES-SHLFOBR</v>
          </cell>
          <cell r="B899" t="str">
            <v>VAR_fout</v>
          </cell>
          <cell r="C899" t="str">
            <v>RHES-SHLFO</v>
          </cell>
          <cell r="D899">
            <v>21.68065853961409</v>
          </cell>
          <cell r="E899">
            <v>19.946201733403047</v>
          </cell>
          <cell r="F899">
            <v>13.781743176182582</v>
          </cell>
          <cell r="G899">
            <v>6.7327247658358589</v>
          </cell>
          <cell r="H899">
            <v>1.253488755436031</v>
          </cell>
          <cell r="I899">
            <v>6.9092120273504198E-2</v>
          </cell>
        </row>
        <row r="900">
          <cell r="A900" t="str">
            <v>RHES-SHLFOBR</v>
          </cell>
          <cell r="B900" t="str">
            <v>VAR_fin</v>
          </cell>
          <cell r="C900" t="str">
            <v>RLFO</v>
          </cell>
          <cell r="D900">
            <v>24.201665346545948</v>
          </cell>
          <cell r="E900">
            <v>22.265527516356901</v>
          </cell>
          <cell r="F900">
            <v>16.295452347300447</v>
          </cell>
          <cell r="G900">
            <v>7.7998018092384163</v>
          </cell>
          <cell r="H900">
            <v>1.4501590434751495</v>
          </cell>
          <cell r="I900">
            <v>7.9513071909447855E-2</v>
          </cell>
        </row>
        <row r="901">
          <cell r="A901" t="str">
            <v>RHES-SHLFOBR</v>
          </cell>
          <cell r="B901" t="str">
            <v>VAR_ncap</v>
          </cell>
          <cell r="C901" t="str">
            <v>-</v>
          </cell>
          <cell r="E901">
            <v>1.8591362971889E-7</v>
          </cell>
          <cell r="F901">
            <v>7.8649709887952007E-8</v>
          </cell>
          <cell r="G901">
            <v>2.1680311323078699E-7</v>
          </cell>
          <cell r="H901">
            <v>9.3812316520981306E-2</v>
          </cell>
          <cell r="I901">
            <v>7.2679507781213602E-8</v>
          </cell>
        </row>
        <row r="902">
          <cell r="A902" t="str">
            <v>RHES-SHLFOBR</v>
          </cell>
          <cell r="B902" t="str">
            <v>VAR_cap</v>
          </cell>
          <cell r="C902" t="str">
            <v>-</v>
          </cell>
          <cell r="D902">
            <v>1.7515307393373001</v>
          </cell>
          <cell r="E902">
            <v>1.7325106162058888</v>
          </cell>
          <cell r="F902">
            <v>1.2071317813616389</v>
          </cell>
          <cell r="G902">
            <v>1.207039121573237</v>
          </cell>
          <cell r="H902">
            <v>0.10128118640883049</v>
          </cell>
          <cell r="I902">
            <v>7.4524201054221029E-3</v>
          </cell>
        </row>
        <row r="903">
          <cell r="A903" t="str">
            <v>ITOT-SWHSTG</v>
          </cell>
          <cell r="B903" t="str">
            <v>VAR_fout</v>
          </cell>
          <cell r="C903" t="str">
            <v>ITOT-SWH</v>
          </cell>
          <cell r="D903">
            <v>3.2103699080885487E-6</v>
          </cell>
          <cell r="E903">
            <v>3.3549666188588693E-4</v>
          </cell>
          <cell r="F903">
            <v>2.6203891467289188E-3</v>
          </cell>
          <cell r="G903">
            <v>4.396310221878922E-3</v>
          </cell>
          <cell r="H903">
            <v>0.14691772633353509</v>
          </cell>
          <cell r="I903">
            <v>3.7011571468950253</v>
          </cell>
        </row>
        <row r="904">
          <cell r="A904" t="str">
            <v>ITOT-SWHSTG</v>
          </cell>
          <cell r="B904" t="str">
            <v>VAR_fout</v>
          </cell>
          <cell r="C904" t="str">
            <v>AUX_ITOT-STG_OUT</v>
          </cell>
          <cell r="D904">
            <v>3.2103699080885415E-6</v>
          </cell>
          <cell r="E904">
            <v>3.3522266124323566E-4</v>
          </cell>
          <cell r="F904">
            <v>2.6170468136336006E-3</v>
          </cell>
          <cell r="G904">
            <v>4.3963102218789298E-3</v>
          </cell>
          <cell r="H904">
            <v>0.14691772633353531</v>
          </cell>
          <cell r="I904">
            <v>3.7011571468950253</v>
          </cell>
        </row>
        <row r="905">
          <cell r="A905" t="str">
            <v>ITOT-SWHSTG</v>
          </cell>
          <cell r="B905" t="str">
            <v>VAR_fin</v>
          </cell>
          <cell r="C905" t="str">
            <v>AUX_ITOT-STG_IN</v>
          </cell>
          <cell r="D905">
            <v>3.9843852167718241E-6</v>
          </cell>
          <cell r="E905">
            <v>4.0814677643337378E-4</v>
          </cell>
          <cell r="F905">
            <v>3.1195108856294173E-3</v>
          </cell>
          <cell r="G905">
            <v>5.053230464212982E-3</v>
          </cell>
          <cell r="H905">
            <v>0.15797604797277373</v>
          </cell>
          <cell r="I905">
            <v>3.7385426100082326</v>
          </cell>
        </row>
        <row r="906">
          <cell r="A906" t="str">
            <v>ITOT-SWHSTG</v>
          </cell>
          <cell r="B906" t="str">
            <v>VAR_fin</v>
          </cell>
          <cell r="C906" t="str">
            <v>ITOT-SWH</v>
          </cell>
          <cell r="D906">
            <v>3.9843852167718241E-6</v>
          </cell>
          <cell r="E906">
            <v>4.0814677643337378E-4</v>
          </cell>
          <cell r="F906">
            <v>3.1195108856294173E-3</v>
          </cell>
          <cell r="G906">
            <v>5.053230464212982E-3</v>
          </cell>
          <cell r="H906">
            <v>0.15797604797277373</v>
          </cell>
          <cell r="I906">
            <v>3.7385426100082326</v>
          </cell>
        </row>
        <row r="907">
          <cell r="A907" t="str">
            <v>ITOT-SWHSTG</v>
          </cell>
          <cell r="B907" t="str">
            <v>VAR_ncap</v>
          </cell>
          <cell r="C907" t="str">
            <v>-</v>
          </cell>
          <cell r="D907">
            <v>1.0938989345691699E-3</v>
          </cell>
          <cell r="E907">
            <v>7.2169138416911899E-6</v>
          </cell>
          <cell r="F907">
            <v>2.69073682552208E-5</v>
          </cell>
          <cell r="G907">
            <v>1.4974475169426301E-4</v>
          </cell>
          <cell r="H907">
            <v>4.1488393769955501E-2</v>
          </cell>
          <cell r="I907">
            <v>0.53906931812100101</v>
          </cell>
        </row>
        <row r="908">
          <cell r="A908" t="str">
            <v>ITOT-SWHSTG</v>
          </cell>
          <cell r="B908" t="str">
            <v>VAR_cap</v>
          </cell>
          <cell r="C908" t="str">
            <v>-</v>
          </cell>
          <cell r="D908">
            <v>1.0938989345691699E-3</v>
          </cell>
          <cell r="E908">
            <v>1.1004471233397434E-3</v>
          </cell>
          <cell r="F908">
            <v>1.1259532565361229E-3</v>
          </cell>
          <cell r="G908">
            <v>1.2730703893815583E-3</v>
          </cell>
          <cell r="H908">
            <v>4.4910065041092719E-2</v>
          </cell>
          <cell r="I908">
            <v>0.57057779789416585</v>
          </cell>
        </row>
        <row r="909">
          <cell r="A909" t="str">
            <v>SCOM-SHLFOBR</v>
          </cell>
          <cell r="B909" t="str">
            <v>VAR_fout</v>
          </cell>
          <cell r="C909" t="str">
            <v>CO2_S</v>
          </cell>
          <cell r="D909">
            <v>2229.9140482292401</v>
          </cell>
          <cell r="E909">
            <v>1996.8288030609799</v>
          </cell>
          <cell r="F909">
            <v>1850.38962285819</v>
          </cell>
          <cell r="G909">
            <v>1118.6008535631699</v>
          </cell>
          <cell r="H909">
            <v>383.51155063741197</v>
          </cell>
          <cell r="I909">
            <v>17.283551538167199</v>
          </cell>
        </row>
        <row r="910">
          <cell r="A910" t="str">
            <v>SCOM-SHLFOBR</v>
          </cell>
          <cell r="B910" t="str">
            <v>VAR_fout</v>
          </cell>
          <cell r="C910" t="str">
            <v>SCOM-SHLFO</v>
          </cell>
          <cell r="D910">
            <v>24.843070947295473</v>
          </cell>
          <cell r="E910">
            <v>22.290362293924712</v>
          </cell>
          <cell r="F910">
            <v>19.882178779790753</v>
          </cell>
          <cell r="G910">
            <v>12.401761825892178</v>
          </cell>
          <cell r="H910">
            <v>4.2519357046201005</v>
          </cell>
          <cell r="I910">
            <v>0.19237240666837704</v>
          </cell>
        </row>
        <row r="911">
          <cell r="A911" t="str">
            <v>SCOM-SHLFOBR</v>
          </cell>
          <cell r="B911" t="str">
            <v>VAR_fin</v>
          </cell>
          <cell r="C911" t="str">
            <v>SLFO</v>
          </cell>
          <cell r="D911">
            <v>30.256635661183736</v>
          </cell>
          <cell r="E911">
            <v>27.09401361005397</v>
          </cell>
          <cell r="F911">
            <v>25.107050513679713</v>
          </cell>
          <cell r="G911">
            <v>15.177759207098662</v>
          </cell>
          <cell r="H911">
            <v>5.20368454053476</v>
          </cell>
          <cell r="I911">
            <v>0.23451223253958195</v>
          </cell>
        </row>
        <row r="912">
          <cell r="A912" t="str">
            <v>SCOM-SHLFOBR</v>
          </cell>
          <cell r="B912" t="str">
            <v>VAR_ncap</v>
          </cell>
          <cell r="C912" t="str">
            <v>-</v>
          </cell>
          <cell r="D912">
            <v>1.0264061832893999E-6</v>
          </cell>
          <cell r="E912">
            <v>9.9185391227110103E-7</v>
          </cell>
          <cell r="F912">
            <v>8.1017772442791297E-7</v>
          </cell>
          <cell r="G912">
            <v>1.1354107656958801E-6</v>
          </cell>
          <cell r="H912">
            <v>4.6327551638604601E-6</v>
          </cell>
          <cell r="I912">
            <v>2.7107761830469602E-7</v>
          </cell>
        </row>
        <row r="913">
          <cell r="A913" t="str">
            <v>SCOM-SHLFOBR</v>
          </cell>
          <cell r="B913" t="str">
            <v>VAR_cap</v>
          </cell>
          <cell r="C913" t="str">
            <v>-</v>
          </cell>
          <cell r="D913">
            <v>1.9285746836313034</v>
          </cell>
          <cell r="E913">
            <v>1.7486850928395665</v>
          </cell>
          <cell r="F913">
            <v>1.5476337421694479</v>
          </cell>
          <cell r="G913">
            <v>1.5475463007249586</v>
          </cell>
          <cell r="H913">
            <v>0.33016221949298241</v>
          </cell>
          <cell r="I913">
            <v>3.2895184747634004E-2</v>
          </cell>
        </row>
        <row r="914">
          <cell r="A914" t="str">
            <v>RHNM-SHPLTBR</v>
          </cell>
          <cell r="B914" t="str">
            <v>VAR_fout</v>
          </cell>
          <cell r="C914" t="str">
            <v>RHNM-SHPLT</v>
          </cell>
          <cell r="E914">
            <v>7.3539076537730147E-2</v>
          </cell>
          <cell r="F914">
            <v>1.0000329034994367E-2</v>
          </cell>
          <cell r="G914">
            <v>2.4322939645173035E-2</v>
          </cell>
          <cell r="H914">
            <v>3.2064035982548582E-2</v>
          </cell>
          <cell r="I914">
            <v>3.6078697569366831E-2</v>
          </cell>
        </row>
        <row r="915">
          <cell r="A915" t="str">
            <v>RHNM-SHPLTBR</v>
          </cell>
          <cell r="B915" t="str">
            <v>VAR_fin</v>
          </cell>
          <cell r="C915" t="str">
            <v>RPLT</v>
          </cell>
          <cell r="E915">
            <v>8.171008504192237E-2</v>
          </cell>
          <cell r="F915">
            <v>1.3381356315979233E-2</v>
          </cell>
          <cell r="G915">
            <v>3.2071636942093459E-2</v>
          </cell>
          <cell r="H915">
            <v>4.1845534989841164E-2</v>
          </cell>
          <cell r="I915">
            <v>4.708491477331591E-2</v>
          </cell>
        </row>
        <row r="916">
          <cell r="A916" t="str">
            <v>RHNM-SHPLTBR</v>
          </cell>
          <cell r="B916" t="str">
            <v>VAR_fin</v>
          </cell>
          <cell r="C916" t="str">
            <v>RHNMPLTBRC</v>
          </cell>
          <cell r="E916">
            <v>7.3539076537730147E-2</v>
          </cell>
          <cell r="F916">
            <v>1.0000329034994367E-2</v>
          </cell>
          <cell r="G916">
            <v>2.4322939645173035E-2</v>
          </cell>
          <cell r="H916">
            <v>3.2064035982548582E-2</v>
          </cell>
          <cell r="I916">
            <v>3.6078697569366831E-2</v>
          </cell>
        </row>
        <row r="917">
          <cell r="A917" t="str">
            <v>RHNM-SHPLTBR</v>
          </cell>
          <cell r="B917" t="str">
            <v>VAR_ncap</v>
          </cell>
          <cell r="C917" t="str">
            <v>-</v>
          </cell>
          <cell r="E917">
            <v>5.80449898211737E-3</v>
          </cell>
          <cell r="F917">
            <v>1.33491224471086E-6</v>
          </cell>
          <cell r="G917">
            <v>8.0908917550629195E-7</v>
          </cell>
          <cell r="H917">
            <v>2.5954982897650001E-3</v>
          </cell>
          <cell r="I917">
            <v>9.6834458633096902E-4</v>
          </cell>
        </row>
        <row r="918">
          <cell r="A918" t="str">
            <v>RHNM-SHPLTBR</v>
          </cell>
          <cell r="B918" t="str">
            <v>VAR_cap</v>
          </cell>
          <cell r="C918" t="str">
            <v>-</v>
          </cell>
          <cell r="E918">
            <v>5.80449898211737E-3</v>
          </cell>
          <cell r="F918">
            <v>5.0641819795894669E-3</v>
          </cell>
          <cell r="G918">
            <v>5.0613791124829166E-3</v>
          </cell>
          <cell r="H918">
            <v>2.604135390442909E-3</v>
          </cell>
          <cell r="I918">
            <v>2.8550865225238004E-3</v>
          </cell>
        </row>
        <row r="919">
          <cell r="A919" t="str">
            <v>D-RHES_NKEV_GAS_ELC_CHP</v>
          </cell>
          <cell r="B919" t="str">
            <v>VAR_fout</v>
          </cell>
          <cell r="C919" t="str">
            <v>RHES_ELC</v>
          </cell>
          <cell r="D919">
            <v>2.1946386674072116E-2</v>
          </cell>
          <cell r="E919">
            <v>8.9688046280608444E-4</v>
          </cell>
          <cell r="F919">
            <v>1.2208602617014943E-3</v>
          </cell>
          <cell r="G919">
            <v>4.5133954111210275E-4</v>
          </cell>
          <cell r="H919">
            <v>9.3615963770987492E-4</v>
          </cell>
          <cell r="I919">
            <v>2.1814114562142365E-4</v>
          </cell>
        </row>
        <row r="920">
          <cell r="A920" t="str">
            <v>D-RHES_NKEV_GAS_ELC_CHP</v>
          </cell>
          <cell r="B920" t="str">
            <v>VAR_fout</v>
          </cell>
          <cell r="C920" t="str">
            <v>ELC5</v>
          </cell>
          <cell r="D920">
            <v>2.1932494150500848E-2</v>
          </cell>
          <cell r="E920">
            <v>8.969622759154352E-4</v>
          </cell>
          <cell r="F920">
            <v>1.2214564517016445E-3</v>
          </cell>
          <cell r="G920">
            <v>4.5128726067916421E-4</v>
          </cell>
          <cell r="H920">
            <v>9.3627368221649982E-4</v>
          </cell>
          <cell r="I920">
            <v>2.180472277422877E-4</v>
          </cell>
        </row>
        <row r="921">
          <cell r="A921" t="str">
            <v>D-RHES_NKEV_GAS_ELC_CHP</v>
          </cell>
          <cell r="B921" t="str">
            <v>VAR_fin</v>
          </cell>
          <cell r="C921" t="str">
            <v>RHES_NKEV_GAS_ELC_CHP</v>
          </cell>
          <cell r="D921">
            <v>4.3878880824572981E-2</v>
          </cell>
          <cell r="E921">
            <v>1.793842738721519E-3</v>
          </cell>
          <cell r="F921">
            <v>2.4373628812026206E-3</v>
          </cell>
          <cell r="G921">
            <v>9.0262680179126686E-4</v>
          </cell>
          <cell r="H921">
            <v>1.872433319926377E-3</v>
          </cell>
          <cell r="I921">
            <v>4.3618837336371148E-4</v>
          </cell>
        </row>
        <row r="922">
          <cell r="A922" t="str">
            <v>SCOM-SHSTG-SOL</v>
          </cell>
          <cell r="B922" t="str">
            <v>VAR_fout</v>
          </cell>
          <cell r="C922" t="str">
            <v>SCOM-SHASOL</v>
          </cell>
          <cell r="D922">
            <v>2.1520186141750916E-5</v>
          </cell>
          <cell r="E922">
            <v>2.1962859862316112E-5</v>
          </cell>
          <cell r="F922">
            <v>1.4000811737844969E-5</v>
          </cell>
          <cell r="G922">
            <v>1.3024381120210209E-5</v>
          </cell>
          <cell r="H922">
            <v>2.3618195858189435E-5</v>
          </cell>
          <cell r="I922">
            <v>1.0808824094213558E-5</v>
          </cell>
        </row>
        <row r="923">
          <cell r="A923" t="str">
            <v>SCOM-SHSTG-SOL</v>
          </cell>
          <cell r="B923" t="str">
            <v>VAR_fin</v>
          </cell>
          <cell r="C923" t="str">
            <v>SCOM-SHASOL</v>
          </cell>
          <cell r="D923">
            <v>1.9703931672787415E-5</v>
          </cell>
          <cell r="E923">
            <v>2.1445663480895088E-5</v>
          </cell>
          <cell r="F923">
            <v>1.0655191298833059E-5</v>
          </cell>
          <cell r="G923">
            <v>9.5143484509525274E-6</v>
          </cell>
          <cell r="H923">
            <v>2.5564848405920886E-5</v>
          </cell>
          <cell r="I923">
            <v>6.5590843870723745E-6</v>
          </cell>
        </row>
        <row r="924">
          <cell r="A924" t="str">
            <v>SCOM-SHSTG-SOL</v>
          </cell>
          <cell r="B924" t="str">
            <v>VAR_ncap</v>
          </cell>
          <cell r="C924" t="str">
            <v>-</v>
          </cell>
          <cell r="D924">
            <v>7.8177157428088902E-3</v>
          </cell>
          <cell r="E924">
            <v>1.5677793156830402E-2</v>
          </cell>
          <cell r="F924">
            <v>2.2875103635259301E-7</v>
          </cell>
          <cell r="G924">
            <v>2.3045744095202799E-7</v>
          </cell>
          <cell r="H924">
            <v>1.30074017769704E-2</v>
          </cell>
          <cell r="I924">
            <v>1.9273319146768001E-2</v>
          </cell>
        </row>
        <row r="925">
          <cell r="A925" t="str">
            <v>SCOM-SHSTG-SOL</v>
          </cell>
          <cell r="B925" t="str">
            <v>VAR_cap</v>
          </cell>
          <cell r="C925" t="str">
            <v>-</v>
          </cell>
          <cell r="D925">
            <v>7.8177157428088902E-3</v>
          </cell>
          <cell r="E925">
            <v>2.3495508899639299E-2</v>
          </cell>
          <cell r="F925">
            <v>2.34957376506757E-2</v>
          </cell>
          <cell r="G925">
            <v>2.3495968108116601E-2</v>
          </cell>
          <cell r="H925">
            <v>2.56256614911811E-2</v>
          </cell>
          <cell r="I925">
            <v>3.4050599325757103E-2</v>
          </cell>
        </row>
        <row r="926">
          <cell r="A926" t="str">
            <v>RHNM-SHELCBRA</v>
          </cell>
          <cell r="B926" t="str">
            <v>VAR_fout</v>
          </cell>
          <cell r="C926" t="str">
            <v>RHNM-SHELCB</v>
          </cell>
          <cell r="E926">
            <v>0.15438960104145699</v>
          </cell>
          <cell r="F926">
            <v>4.1078741627968734E-4</v>
          </cell>
          <cell r="G926">
            <v>1.2005155280968289E-3</v>
          </cell>
          <cell r="H926">
            <v>1.5265870706173584E-3</v>
          </cell>
          <cell r="I926">
            <v>1.6713713855385549E-3</v>
          </cell>
        </row>
        <row r="927">
          <cell r="A927" t="str">
            <v>RHNM-SHELCBRA</v>
          </cell>
          <cell r="B927" t="str">
            <v>VAR_fin</v>
          </cell>
          <cell r="C927" t="str">
            <v>RHNM-SHAELCB</v>
          </cell>
          <cell r="E927">
            <v>0.15438960104145699</v>
          </cell>
          <cell r="F927">
            <v>4.1078741627968734E-4</v>
          </cell>
          <cell r="G927">
            <v>1.2005155280968289E-3</v>
          </cell>
          <cell r="H927">
            <v>1.5265870706173584E-3</v>
          </cell>
          <cell r="I927">
            <v>1.6713713855385549E-3</v>
          </cell>
        </row>
        <row r="928">
          <cell r="A928" t="str">
            <v>RHNM-SHELCBRA</v>
          </cell>
          <cell r="B928" t="str">
            <v>VAR_ncap</v>
          </cell>
          <cell r="C928" t="str">
            <v>-</v>
          </cell>
          <cell r="E928">
            <v>1.21327618599143E-2</v>
          </cell>
        </row>
        <row r="929">
          <cell r="A929" t="str">
            <v>RHNM-SHELCBRA</v>
          </cell>
          <cell r="B929" t="str">
            <v>VAR_cap</v>
          </cell>
          <cell r="C929" t="str">
            <v>-</v>
          </cell>
          <cell r="E929">
            <v>1.21327618599143E-2</v>
          </cell>
          <cell r="F929">
            <v>1.0150569971278479E-2</v>
          </cell>
          <cell r="G929">
            <v>7.0538052503315799E-3</v>
          </cell>
          <cell r="H929">
            <v>8.4770414243021542E-4</v>
          </cell>
          <cell r="I929">
            <v>3.5798219685154018E-4</v>
          </cell>
        </row>
        <row r="930">
          <cell r="A930" t="str">
            <v>RHNM-SHSTG-SOL</v>
          </cell>
          <cell r="B930" t="str">
            <v>VAR_fout</v>
          </cell>
          <cell r="C930" t="str">
            <v>RHNM-SHASOL</v>
          </cell>
          <cell r="E930">
            <v>1.4542463890902077E-5</v>
          </cell>
          <cell r="F930">
            <v>9.171426647179514E-6</v>
          </cell>
          <cell r="G930">
            <v>2.2419887690469905E-5</v>
          </cell>
          <cell r="H930">
            <v>2.7990432649839831E-5</v>
          </cell>
          <cell r="I930">
            <v>5.7806079949069333E-5</v>
          </cell>
        </row>
        <row r="931">
          <cell r="A931" t="str">
            <v>RHNM-SHSTG-SOL</v>
          </cell>
          <cell r="B931" t="str">
            <v>VAR_fin</v>
          </cell>
          <cell r="C931" t="str">
            <v>RHNM-SHASOL</v>
          </cell>
          <cell r="E931">
            <v>4.8047621340963011E-7</v>
          </cell>
          <cell r="F931">
            <v>3.6016552155365238E-6</v>
          </cell>
          <cell r="G931">
            <v>2.0618967290398131E-5</v>
          </cell>
          <cell r="H931">
            <v>2.7828759135605036E-5</v>
          </cell>
          <cell r="I931">
            <v>5.7715570455318412E-5</v>
          </cell>
        </row>
        <row r="932">
          <cell r="A932" t="str">
            <v>RHNM-SHSTG-SOL</v>
          </cell>
          <cell r="B932" t="str">
            <v>VAR_ncap</v>
          </cell>
          <cell r="C932" t="str">
            <v>-</v>
          </cell>
          <cell r="D932">
            <v>1.45586507080258E-4</v>
          </cell>
          <cell r="E932">
            <v>5.7894978245321901E-4</v>
          </cell>
          <cell r="F932">
            <v>2.4180215394752699E-5</v>
          </cell>
          <cell r="G932">
            <v>6.72094781660844E-7</v>
          </cell>
          <cell r="H932">
            <v>5.8793709736877401E-5</v>
          </cell>
          <cell r="I932">
            <v>3.6649774758363002E-5</v>
          </cell>
        </row>
        <row r="933">
          <cell r="A933" t="str">
            <v>RHNM-SHSTG-SOL</v>
          </cell>
          <cell r="B933" t="str">
            <v>VAR_cap</v>
          </cell>
          <cell r="C933" t="str">
            <v>-</v>
          </cell>
          <cell r="D933">
            <v>1.45586507080258E-4</v>
          </cell>
          <cell r="E933">
            <v>7.2453628953347696E-4</v>
          </cell>
          <cell r="F933">
            <v>7.4871650492823005E-4</v>
          </cell>
          <cell r="G933">
            <v>7.4938859970989104E-4</v>
          </cell>
          <cell r="H933">
            <v>8.9880970260543404E-5</v>
          </cell>
          <cell r="I933">
            <v>9.0462296891263001E-5</v>
          </cell>
        </row>
        <row r="934">
          <cell r="A934" t="str">
            <v>RHNS-SHELCHP</v>
          </cell>
          <cell r="B934" t="str">
            <v>VAR_fout</v>
          </cell>
          <cell r="C934" t="str">
            <v>RHNS-SHAELCH</v>
          </cell>
          <cell r="E934">
            <v>0.13975164705543056</v>
          </cell>
          <cell r="F934">
            <v>0.99127941846319412</v>
          </cell>
          <cell r="G934">
            <v>1.5597248456364867</v>
          </cell>
          <cell r="H934">
            <v>2.4932424612573763</v>
          </cell>
          <cell r="I934">
            <v>3.1367124751947677</v>
          </cell>
        </row>
        <row r="935">
          <cell r="A935" t="str">
            <v>RHNS-SHELCHP</v>
          </cell>
          <cell r="B935" t="str">
            <v>VAR_fin</v>
          </cell>
          <cell r="C935" t="str">
            <v>RHNS_ELC</v>
          </cell>
          <cell r="E935">
            <v>4.2956448889989E-2</v>
          </cell>
          <cell r="F935">
            <v>0.28633096809712494</v>
          </cell>
          <cell r="G935">
            <v>0.43067607461134544</v>
          </cell>
          <cell r="H935">
            <v>0.63920506185369574</v>
          </cell>
          <cell r="I935">
            <v>0.73798724966817819</v>
          </cell>
        </row>
        <row r="936">
          <cell r="A936" t="str">
            <v>RHNS-SHELCHP</v>
          </cell>
          <cell r="B936" t="str">
            <v>VAR_fin</v>
          </cell>
          <cell r="C936" t="str">
            <v>RHNSELCHPC</v>
          </cell>
          <cell r="E936">
            <v>0.13975164705543056</v>
          </cell>
          <cell r="F936">
            <v>0.99127941846319412</v>
          </cell>
          <cell r="G936">
            <v>1.5597248456364867</v>
          </cell>
          <cell r="H936">
            <v>2.4932424612573763</v>
          </cell>
          <cell r="I936">
            <v>3.1367124751947677</v>
          </cell>
        </row>
        <row r="937">
          <cell r="A937" t="str">
            <v>RHNS-SHELCHP</v>
          </cell>
          <cell r="B937" t="str">
            <v>VAR_ncap</v>
          </cell>
          <cell r="C937" t="str">
            <v>-</v>
          </cell>
          <cell r="E937">
            <v>1.03110643057625E-2</v>
          </cell>
          <cell r="F937">
            <v>6.1985925350803599E-2</v>
          </cell>
          <cell r="G937">
            <v>4.1370170641950997E-2</v>
          </cell>
          <cell r="H937">
            <v>0.10036248208816601</v>
          </cell>
          <cell r="I937">
            <v>0.138253367378221</v>
          </cell>
        </row>
        <row r="938">
          <cell r="A938" t="str">
            <v>RHNS-SHELCHP</v>
          </cell>
          <cell r="B938" t="str">
            <v>VAR_cap</v>
          </cell>
          <cell r="C938" t="str">
            <v>-</v>
          </cell>
          <cell r="E938">
            <v>1.03110643057625E-2</v>
          </cell>
          <cell r="F938">
            <v>7.2296839086024051E-2</v>
          </cell>
          <cell r="G938">
            <v>0.11366690144240803</v>
          </cell>
          <cell r="H938">
            <v>0.18170841746228836</v>
          </cell>
          <cell r="I938">
            <v>0.22890274854570589</v>
          </cell>
        </row>
        <row r="939">
          <cell r="A939" t="str">
            <v>SCOM-SHBIOBR</v>
          </cell>
          <cell r="B939" t="str">
            <v>VAR_fout</v>
          </cell>
          <cell r="C939" t="str">
            <v>SCOM-SHBIO</v>
          </cell>
          <cell r="D939">
            <v>1.223067146406982</v>
          </cell>
          <cell r="E939">
            <v>1.3407670422865576</v>
          </cell>
        </row>
        <row r="940">
          <cell r="A940" t="str">
            <v>SCOM-SHBIOBR</v>
          </cell>
          <cell r="B940" t="str">
            <v>VAR_fin</v>
          </cell>
          <cell r="C940" t="str">
            <v>SBIO</v>
          </cell>
          <cell r="D940">
            <v>1.4022783150733571</v>
          </cell>
          <cell r="E940">
            <v>1.5372243089733524</v>
          </cell>
        </row>
        <row r="941">
          <cell r="A941" t="str">
            <v>SCOM-SHBIOBR</v>
          </cell>
          <cell r="B941" t="str">
            <v>VAR_ncap</v>
          </cell>
          <cell r="C941" t="str">
            <v>-</v>
          </cell>
          <cell r="D941">
            <v>6.3142622722795696E-7</v>
          </cell>
          <cell r="E941">
            <v>8.2063024794612093E-6</v>
          </cell>
          <cell r="F941">
            <v>6.6290342129804099E-7</v>
          </cell>
          <cell r="G941">
            <v>1.1905217808788201E-6</v>
          </cell>
          <cell r="H941">
            <v>6.40421777669946E-5</v>
          </cell>
          <cell r="I941">
            <v>3.0739844691038E-5</v>
          </cell>
        </row>
        <row r="942">
          <cell r="A942" t="str">
            <v>SCOM-SHBIOBR</v>
          </cell>
          <cell r="B942" t="str">
            <v>VAR_cap</v>
          </cell>
          <cell r="C942" t="str">
            <v>-</v>
          </cell>
          <cell r="D942">
            <v>0.10534155689490322</v>
          </cell>
          <cell r="E942">
            <v>0.10534877779341204</v>
          </cell>
          <cell r="F942">
            <v>0.10530607713498275</v>
          </cell>
          <cell r="G942">
            <v>0.10529385291467086</v>
          </cell>
          <cell r="H942">
            <v>1.0697627979889347E-4</v>
          </cell>
          <cell r="I942">
            <v>9.4322209390467566E-5</v>
          </cell>
        </row>
        <row r="943">
          <cell r="A943" t="str">
            <v>RHES-SHDEM</v>
          </cell>
          <cell r="B943" t="str">
            <v>VAR_fout</v>
          </cell>
          <cell r="C943" t="str">
            <v>RHES-SHD</v>
          </cell>
          <cell r="D943">
            <v>62.024837503894084</v>
          </cell>
          <cell r="E943">
            <v>67.815394581973521</v>
          </cell>
          <cell r="F943">
            <v>55.776301065834446</v>
          </cell>
          <cell r="G943">
            <v>54.424202166558345</v>
          </cell>
          <cell r="H943">
            <v>52.167632345243419</v>
          </cell>
          <cell r="I943">
            <v>51.000658188362067</v>
          </cell>
        </row>
        <row r="944">
          <cell r="A944" t="str">
            <v>RHES-SHDEM</v>
          </cell>
          <cell r="B944" t="str">
            <v>VAR_fin</v>
          </cell>
          <cell r="C944" t="str">
            <v>RHES-SHPLT</v>
          </cell>
          <cell r="D944">
            <v>1.2930837781009981</v>
          </cell>
          <cell r="E944">
            <v>1.486811832129235</v>
          </cell>
          <cell r="F944">
            <v>4.0440860443673309E-2</v>
          </cell>
          <cell r="G944">
            <v>5.4522763674664701E-2</v>
          </cell>
          <cell r="H944">
            <v>6.2883484635033876E-2</v>
          </cell>
          <cell r="I944">
            <v>5.6344276115424356E-2</v>
          </cell>
        </row>
        <row r="945">
          <cell r="A945" t="str">
            <v>RHES-SHDEM</v>
          </cell>
          <cell r="B945" t="str">
            <v>VAR_fin</v>
          </cell>
          <cell r="C945" t="str">
            <v>RHES-SHLTHC-NGA</v>
          </cell>
          <cell r="D945">
            <v>3.5259620817965145E-2</v>
          </cell>
          <cell r="E945">
            <v>4.0821053668445989E-3</v>
          </cell>
        </row>
        <row r="946">
          <cell r="A946" t="str">
            <v>RHES-SHDEM</v>
          </cell>
          <cell r="B946" t="str">
            <v>VAR_fin</v>
          </cell>
          <cell r="C946" t="str">
            <v>RHES-SHSOL</v>
          </cell>
          <cell r="D946">
            <v>0.37604865551075822</v>
          </cell>
          <cell r="E946">
            <v>0.43549021947107697</v>
          </cell>
          <cell r="F946">
            <v>2.0958721161563849E-2</v>
          </cell>
          <cell r="G946">
            <v>2.2395993679744205E-2</v>
          </cell>
          <cell r="H946">
            <v>2.1332173802232238E-2</v>
          </cell>
          <cell r="I946">
            <v>1.9319544529135615E-2</v>
          </cell>
        </row>
        <row r="947">
          <cell r="A947" t="str">
            <v>RHES-SHDEM</v>
          </cell>
          <cell r="B947" t="str">
            <v>VAR_fin</v>
          </cell>
          <cell r="C947" t="str">
            <v>RHES-SHLTHC-WOD</v>
          </cell>
          <cell r="D947">
            <v>1.3757218763730146E-3</v>
          </cell>
        </row>
        <row r="948">
          <cell r="A948" t="str">
            <v>RHES-SHDEM</v>
          </cell>
          <cell r="B948" t="str">
            <v>VAR_fin</v>
          </cell>
          <cell r="C948" t="str">
            <v>RHES-SHNGA</v>
          </cell>
          <cell r="D948">
            <v>17.566261557582461</v>
          </cell>
          <cell r="E948">
            <v>18.835356461652374</v>
          </cell>
          <cell r="F948">
            <v>10.410560473437785</v>
          </cell>
          <cell r="G948">
            <v>7.424641057749553</v>
          </cell>
          <cell r="H948">
            <v>2.3533323748465498</v>
          </cell>
          <cell r="I948">
            <v>0.94540153168323993</v>
          </cell>
        </row>
        <row r="949">
          <cell r="A949" t="str">
            <v>RHES-SHDEM</v>
          </cell>
          <cell r="B949" t="str">
            <v>VAR_fin</v>
          </cell>
          <cell r="C949" t="str">
            <v>RHES-SHNGAH</v>
          </cell>
          <cell r="D949">
            <v>3.2811795098718635E-4</v>
          </cell>
          <cell r="E949">
            <v>6.3923753311651195E-5</v>
          </cell>
          <cell r="F949">
            <v>2.1747989022550591</v>
          </cell>
          <cell r="G949">
            <v>5.6116361703485902</v>
          </cell>
          <cell r="H949">
            <v>7.6069576016446083</v>
          </cell>
          <cell r="I949">
            <v>6.9878897459986078</v>
          </cell>
        </row>
        <row r="950">
          <cell r="A950" t="str">
            <v>RHES-SHDEM</v>
          </cell>
          <cell r="B950" t="str">
            <v>VAR_fin</v>
          </cell>
          <cell r="C950" t="str">
            <v>RHES-SHCOA</v>
          </cell>
          <cell r="D950">
            <v>7.4491363398029364E-2</v>
          </cell>
          <cell r="E950">
            <v>7.1956519964848892E-2</v>
          </cell>
          <cell r="F950">
            <v>2.1225172449782986E-2</v>
          </cell>
          <cell r="G950">
            <v>1.8554264141367268E-4</v>
          </cell>
        </row>
        <row r="951">
          <cell r="A951" t="str">
            <v>RHES-SHDEM</v>
          </cell>
          <cell r="B951" t="str">
            <v>VAR_fin</v>
          </cell>
          <cell r="C951" t="str">
            <v>RHES-SHLFO</v>
          </cell>
          <cell r="D951">
            <v>21.674681681873665</v>
          </cell>
          <cell r="E951">
            <v>19.946115531757336</v>
          </cell>
          <cell r="F951">
            <v>13.781751633064957</v>
          </cell>
          <cell r="G951">
            <v>6.7327334221684882</v>
          </cell>
          <cell r="H951">
            <v>1.2534948211326102</v>
          </cell>
          <cell r="I951">
            <v>6.9098937278840117E-2</v>
          </cell>
        </row>
        <row r="952">
          <cell r="A952" t="str">
            <v>RHES-SHDEM</v>
          </cell>
          <cell r="B952" t="str">
            <v>VAR_fin</v>
          </cell>
          <cell r="C952" t="str">
            <v>RHES-SHCON</v>
          </cell>
          <cell r="D952">
            <v>3.9249493841584764E-2</v>
          </cell>
          <cell r="E952">
            <v>3.7333757304900703</v>
          </cell>
          <cell r="F952">
            <v>2.2521376542466203</v>
          </cell>
          <cell r="G952">
            <v>4.5785249351167066</v>
          </cell>
          <cell r="H952">
            <v>8.7769526444440871</v>
          </cell>
          <cell r="I952">
            <v>13.139356386142296</v>
          </cell>
        </row>
        <row r="953">
          <cell r="A953" t="str">
            <v>RHES-SHDEM</v>
          </cell>
          <cell r="B953" t="str">
            <v>VAR_fin</v>
          </cell>
          <cell r="C953" t="str">
            <v>RHES-SHWOD</v>
          </cell>
          <cell r="D953">
            <v>4.3833788366949094</v>
          </cell>
          <cell r="E953">
            <v>5.03419580547867</v>
          </cell>
          <cell r="F953">
            <v>5.3155809437925283</v>
          </cell>
          <cell r="G953">
            <v>4.5407138404856076</v>
          </cell>
          <cell r="H953">
            <v>2.8637405351006082</v>
          </cell>
          <cell r="I953">
            <v>1.5881246076869138</v>
          </cell>
        </row>
        <row r="954">
          <cell r="A954" t="str">
            <v>RHES-SHDEM</v>
          </cell>
          <cell r="B954" t="str">
            <v>VAR_fin</v>
          </cell>
          <cell r="C954" t="str">
            <v>RHES-SHLTHD</v>
          </cell>
          <cell r="D954">
            <v>3.1494520020935775</v>
          </cell>
          <cell r="E954">
            <v>3.5037215017923389</v>
          </cell>
          <cell r="F954">
            <v>1.5024185243548993</v>
          </cell>
          <cell r="G954">
            <v>2.0012360497903545</v>
          </cell>
          <cell r="H954">
            <v>2.2444600790028431</v>
          </cell>
          <cell r="I954">
            <v>2.1154214173802868</v>
          </cell>
        </row>
        <row r="955">
          <cell r="A955" t="str">
            <v>RHES-SHDEM</v>
          </cell>
          <cell r="B955" t="str">
            <v>VAR_fin</v>
          </cell>
          <cell r="C955" t="str">
            <v>RHES-SHELCB</v>
          </cell>
          <cell r="D955">
            <v>4.2762232159692006</v>
          </cell>
          <cell r="E955">
            <v>4.4885654700745192</v>
          </cell>
          <cell r="F955">
            <v>0.77328458068496342</v>
          </cell>
          <cell r="G955">
            <v>0.18444125105443135</v>
          </cell>
          <cell r="H955">
            <v>3.2304560482260573E-3</v>
          </cell>
          <cell r="I955">
            <v>1.7138650004399265E-3</v>
          </cell>
        </row>
        <row r="956">
          <cell r="A956" t="str">
            <v>RHES-SHDEM</v>
          </cell>
          <cell r="B956" t="str">
            <v>VAR_fin</v>
          </cell>
          <cell r="C956" t="str">
            <v>RHES-SHELCH</v>
          </cell>
          <cell r="D956">
            <v>9.1537021665121046</v>
          </cell>
          <cell r="E956">
            <v>10.275832528910904</v>
          </cell>
          <cell r="F956">
            <v>19.483360429078061</v>
          </cell>
          <cell r="G956">
            <v>23.273340121235574</v>
          </cell>
          <cell r="H956">
            <v>26.981405899858466</v>
          </cell>
          <cell r="I956">
            <v>26.078116603220174</v>
          </cell>
        </row>
        <row r="957">
          <cell r="A957" t="str">
            <v>RHES-SHDEM</v>
          </cell>
          <cell r="B957" t="str">
            <v>VAR_fin</v>
          </cell>
          <cell r="C957" t="str">
            <v>RHES-SHNST</v>
          </cell>
          <cell r="D957">
            <v>1.4690660793303582E-3</v>
          </cell>
          <cell r="E957">
            <v>3.5928101071925168E-5</v>
          </cell>
        </row>
        <row r="958">
          <cell r="A958" t="str">
            <v>D-RHEM_LTH_CHPNGA</v>
          </cell>
          <cell r="B958" t="str">
            <v>VAR_fout</v>
          </cell>
          <cell r="C958" t="str">
            <v>RHSA_LTH</v>
          </cell>
          <cell r="D958">
            <v>1.3227053970448426E-2</v>
          </cell>
          <cell r="E958">
            <v>2.4242367614305742E-5</v>
          </cell>
          <cell r="F958">
            <v>2.4636411062996062E-3</v>
          </cell>
          <cell r="G958">
            <v>3.1085833191300794E-4</v>
          </cell>
          <cell r="H958">
            <v>0.21969945941561625</v>
          </cell>
          <cell r="I958">
            <v>6.8419018984838863E-4</v>
          </cell>
        </row>
        <row r="959">
          <cell r="A959" t="str">
            <v>D-RHEM_LTH_CHPNGA</v>
          </cell>
          <cell r="B959" t="str">
            <v>VAR_fout</v>
          </cell>
          <cell r="C959" t="str">
            <v>RHEM_LTH_CHPNGA_ON</v>
          </cell>
          <cell r="D959">
            <v>6.0309759252759595E-2</v>
          </cell>
          <cell r="E959">
            <v>1.5282733762417655E-3</v>
          </cell>
          <cell r="F959">
            <v>1.7773263121783909E-3</v>
          </cell>
          <cell r="G959">
            <v>1.0492889318625669E-3</v>
          </cell>
        </row>
        <row r="960">
          <cell r="A960" t="str">
            <v>D-RHEM_LTH_CHPNGA</v>
          </cell>
          <cell r="B960" t="str">
            <v>VAR_fout</v>
          </cell>
          <cell r="C960" t="str">
            <v>LTH</v>
          </cell>
          <cell r="F960">
            <v>4.1229875776461087E-7</v>
          </cell>
          <cell r="H960">
            <v>1.341158792434375E-4</v>
          </cell>
          <cell r="I960">
            <v>1.7769314939633761E-7</v>
          </cell>
        </row>
        <row r="961">
          <cell r="A961" t="str">
            <v>D-RHEM_LTH_CHPNGA</v>
          </cell>
          <cell r="B961" t="str">
            <v>VAR_fin</v>
          </cell>
          <cell r="C961" t="str">
            <v>RHEM_LTH_CHPNGA</v>
          </cell>
          <cell r="D961">
            <v>7.3536813223208014E-2</v>
          </cell>
          <cell r="E961">
            <v>1.5527918548149874E-3</v>
          </cell>
          <cell r="F961">
            <v>4.2423581057822604E-3</v>
          </cell>
          <cell r="G961">
            <v>1.3610628851514865E-3</v>
          </cell>
          <cell r="H961">
            <v>0.21983357529485978</v>
          </cell>
          <cell r="I961">
            <v>6.8553981102966626E-4</v>
          </cell>
        </row>
        <row r="962">
          <cell r="A962" t="str">
            <v>RHEM-SHLTHCHPNGA</v>
          </cell>
          <cell r="B962" t="str">
            <v>VAR_fout</v>
          </cell>
          <cell r="C962" t="str">
            <v>RHEM-SHLTHC-NGA</v>
          </cell>
          <cell r="D962">
            <v>5.0173127458311359E-2</v>
          </cell>
          <cell r="E962">
            <v>1.4682648541712649E-3</v>
          </cell>
        </row>
        <row r="963">
          <cell r="A963" t="str">
            <v>RHEM-SHLTHCHPNGA</v>
          </cell>
          <cell r="B963" t="str">
            <v>VAR_fin</v>
          </cell>
          <cell r="C963" t="str">
            <v>RHEM_LTH_CHPNGA_ON</v>
          </cell>
          <cell r="D963">
            <v>5.0679926725567072E-2</v>
          </cell>
          <cell r="E963">
            <v>1.4830958122942074E-3</v>
          </cell>
        </row>
        <row r="964">
          <cell r="A964" t="str">
            <v>RHEM-SHLTHCHPNGA</v>
          </cell>
          <cell r="B964" t="str">
            <v>VAR_fin</v>
          </cell>
          <cell r="C964" t="str">
            <v>RHEMLTHCHPC</v>
          </cell>
          <cell r="D964">
            <v>5.0173127458311359E-2</v>
          </cell>
          <cell r="E964">
            <v>1.4682648541712649E-3</v>
          </cell>
        </row>
        <row r="965">
          <cell r="A965" t="str">
            <v>RHEM-SHLTHCHPNGA</v>
          </cell>
          <cell r="B965" t="str">
            <v>VAR_ncap</v>
          </cell>
          <cell r="C965" t="str">
            <v>-</v>
          </cell>
          <cell r="D965">
            <v>8.4496896262000802E-6</v>
          </cell>
          <cell r="E965">
            <v>9.8141758647345704E-5</v>
          </cell>
          <cell r="F965">
            <v>2.9945190618197598E-4</v>
          </cell>
          <cell r="G965">
            <v>2.0407380866585101E-4</v>
          </cell>
          <cell r="H965">
            <v>6.6727697809890602E-3</v>
          </cell>
          <cell r="I965">
            <v>7.8113291622293305E-5</v>
          </cell>
        </row>
        <row r="966">
          <cell r="A966" t="str">
            <v>RHEM-SHLTHCHPNGA</v>
          </cell>
          <cell r="B966" t="str">
            <v>VAR_cap</v>
          </cell>
          <cell r="C966" t="str">
            <v>-</v>
          </cell>
          <cell r="D966">
            <v>6.8066506881749294E-3</v>
          </cell>
          <cell r="E966">
            <v>1.7410131990809596E-4</v>
          </cell>
          <cell r="F966">
            <v>4.1039514265647174E-4</v>
          </cell>
          <cell r="G966">
            <v>3.8208227169943352E-4</v>
          </cell>
          <cell r="H966">
            <v>6.8719426438794461E-3</v>
          </cell>
          <cell r="I966">
            <v>1.7110392276381038E-4</v>
          </cell>
        </row>
        <row r="967">
          <cell r="A967" t="str">
            <v>D-RHES_SOLELC</v>
          </cell>
          <cell r="B967" t="str">
            <v>VAR_fout</v>
          </cell>
          <cell r="C967" t="str">
            <v>RHES_ELC</v>
          </cell>
          <cell r="D967">
            <v>0.99485506732717077</v>
          </cell>
          <cell r="E967">
            <v>1.4882961037883733</v>
          </cell>
          <cell r="F967">
            <v>3.0151746934615193</v>
          </cell>
          <cell r="G967">
            <v>5.4733873240188462</v>
          </cell>
          <cell r="H967">
            <v>6.8074568302466183</v>
          </cell>
          <cell r="I967">
            <v>1.8514524270090207</v>
          </cell>
        </row>
        <row r="968">
          <cell r="A968" t="str">
            <v>D-RHES_SOLELC</v>
          </cell>
          <cell r="B968" t="str">
            <v>VAR_fout</v>
          </cell>
          <cell r="C968" t="str">
            <v>ELC5</v>
          </cell>
          <cell r="D968">
            <v>1.1400840214074903</v>
          </cell>
          <cell r="E968">
            <v>1.9023700934817767</v>
          </cell>
          <cell r="F968">
            <v>4.9573679755842051</v>
          </cell>
          <cell r="G968">
            <v>8.5257293673577159</v>
          </cell>
          <cell r="H968">
            <v>6.9863245352195795</v>
          </cell>
          <cell r="I968">
            <v>1.5925344281659668</v>
          </cell>
        </row>
        <row r="969">
          <cell r="A969" t="str">
            <v>D-RHES_SOLELC</v>
          </cell>
          <cell r="B969" t="str">
            <v>VAR_fin</v>
          </cell>
          <cell r="C969" t="str">
            <v>RHES_SOL_ELC</v>
          </cell>
          <cell r="D969">
            <v>2.1349390887346629</v>
          </cell>
          <cell r="E969">
            <v>3.3906652617710278</v>
          </cell>
          <cell r="F969">
            <v>7.9725401478220776</v>
          </cell>
          <cell r="G969">
            <v>13.99911370888168</v>
          </cell>
          <cell r="H969">
            <v>13.793776922203048</v>
          </cell>
          <cell r="I969">
            <v>3.4439828530722458</v>
          </cell>
        </row>
        <row r="970">
          <cell r="A970" t="str">
            <v>RHNM-SHCONBR1</v>
          </cell>
          <cell r="B970" t="str">
            <v>VAR_ncap</v>
          </cell>
          <cell r="C970" t="str">
            <v>-</v>
          </cell>
          <cell r="F970">
            <v>375</v>
          </cell>
          <cell r="G970">
            <v>7.50195762065339</v>
          </cell>
        </row>
        <row r="971">
          <cell r="A971" t="str">
            <v>RHNM-SHCONBR1</v>
          </cell>
          <cell r="B971" t="str">
            <v>VAR_cap</v>
          </cell>
          <cell r="C971" t="str">
            <v>-</v>
          </cell>
          <cell r="F971">
            <v>375</v>
          </cell>
          <cell r="G971">
            <v>18.511940608722</v>
          </cell>
          <cell r="H971">
            <v>10.008077518281027</v>
          </cell>
          <cell r="I971">
            <v>4.499068934587001</v>
          </cell>
        </row>
        <row r="972">
          <cell r="A972" t="str">
            <v>D-DH2</v>
          </cell>
          <cell r="B972" t="str">
            <v>VAR_fout</v>
          </cell>
          <cell r="C972" t="str">
            <v>H2</v>
          </cell>
          <cell r="G972">
            <v>7.5496595737343659</v>
          </cell>
          <cell r="H972">
            <v>10.644024324773579</v>
          </cell>
          <cell r="I972">
            <v>33.235517594442321</v>
          </cell>
        </row>
        <row r="973">
          <cell r="A973" t="str">
            <v>D-DH2</v>
          </cell>
          <cell r="B973" t="str">
            <v>VAR_fin</v>
          </cell>
          <cell r="C973" t="str">
            <v>H2_E</v>
          </cell>
          <cell r="G973">
            <v>7.6259187613478563</v>
          </cell>
          <cell r="H973">
            <v>10.751539721993518</v>
          </cell>
          <cell r="I973">
            <v>33.571229893376078</v>
          </cell>
        </row>
        <row r="974">
          <cell r="A974" t="str">
            <v>D-DH2</v>
          </cell>
          <cell r="B974" t="str">
            <v>VAR_ncap</v>
          </cell>
          <cell r="C974" t="str">
            <v>-</v>
          </cell>
          <cell r="G974">
            <v>1.01386133160892</v>
          </cell>
          <cell r="H974">
            <v>0.38430020074293503</v>
          </cell>
          <cell r="I974">
            <v>3.0338579457641401</v>
          </cell>
        </row>
        <row r="975">
          <cell r="A975" t="str">
            <v>D-DH2</v>
          </cell>
          <cell r="B975" t="str">
            <v>VAR_cap</v>
          </cell>
          <cell r="C975" t="str">
            <v>-</v>
          </cell>
          <cell r="G975">
            <v>1.01386133160892</v>
          </cell>
          <cell r="H975">
            <v>1.42941832417471</v>
          </cell>
          <cell r="I975">
            <v>4.4632762699388397</v>
          </cell>
        </row>
        <row r="976">
          <cell r="A976" t="str">
            <v>ITOT-SWHHFOBR</v>
          </cell>
          <cell r="B976" t="str">
            <v>VAR_fout</v>
          </cell>
          <cell r="C976" t="str">
            <v>ITOT-SWH</v>
          </cell>
          <cell r="D976">
            <v>1.8458222712712538</v>
          </cell>
          <cell r="E976">
            <v>8.7742398389565105E-4</v>
          </cell>
          <cell r="F976">
            <v>1.0342731673013965E-3</v>
          </cell>
          <cell r="G976">
            <v>8.9615655021001925E-3</v>
          </cell>
          <cell r="H976">
            <v>1.1254115595787902E-3</v>
          </cell>
        </row>
        <row r="977">
          <cell r="A977" t="str">
            <v>ITOT-SWHHFOBR</v>
          </cell>
          <cell r="B977" t="str">
            <v>VAR_fout</v>
          </cell>
          <cell r="C977" t="str">
            <v>CO2_I</v>
          </cell>
          <cell r="D977">
            <v>210.210116306728</v>
          </cell>
          <cell r="E977">
            <v>9.9494362359126898E-2</v>
          </cell>
          <cell r="F977">
            <v>0.116527164345251</v>
          </cell>
          <cell r="G977">
            <v>0.99897291880089001</v>
          </cell>
          <cell r="H977">
            <v>0.12285194412556</v>
          </cell>
        </row>
        <row r="978">
          <cell r="A978" t="str">
            <v>ITOT-SWHHFOBR</v>
          </cell>
          <cell r="B978" t="str">
            <v>VAR_fin</v>
          </cell>
          <cell r="C978" t="str">
            <v>IHFO</v>
          </cell>
          <cell r="D978">
            <v>2.730001510476991</v>
          </cell>
          <cell r="E978">
            <v>1.2921345760925566E-3</v>
          </cell>
          <cell r="F978">
            <v>1.5133397966915719E-3</v>
          </cell>
          <cell r="G978">
            <v>1.2973674270141426E-2</v>
          </cell>
          <cell r="H978">
            <v>1.5954797938384419E-3</v>
          </cell>
        </row>
        <row r="979">
          <cell r="A979" t="str">
            <v>ITOT-SWHHFOBR</v>
          </cell>
          <cell r="B979" t="str">
            <v>VAR_ncap</v>
          </cell>
          <cell r="C979" t="str">
            <v>-</v>
          </cell>
          <cell r="D979">
            <v>3.6232440400813198E-4</v>
          </cell>
          <cell r="E979">
            <v>1.29819597158395E-5</v>
          </cell>
          <cell r="F979">
            <v>2.6152401298363801E-5</v>
          </cell>
          <cell r="G979">
            <v>6.6926129520045305E-4</v>
          </cell>
          <cell r="H979">
            <v>1.03429734866939E-4</v>
          </cell>
          <cell r="I979">
            <v>4.7532410259368598E-7</v>
          </cell>
        </row>
        <row r="980">
          <cell r="A980" t="str">
            <v>ITOT-SWHHFOBR</v>
          </cell>
          <cell r="B980" t="str">
            <v>VAR_cap</v>
          </cell>
          <cell r="C980" t="str">
            <v>-</v>
          </cell>
          <cell r="D980">
            <v>0.10107932440400813</v>
          </cell>
          <cell r="E980">
            <v>8.3441491565972026E-5</v>
          </cell>
          <cell r="F980">
            <v>9.8281140070335948E-5</v>
          </cell>
          <cell r="G980">
            <v>7.5735089220779761E-4</v>
          </cell>
          <cell r="H980">
            <v>1.06064776356271E-4</v>
          </cell>
          <cell r="I980">
            <v>-1.1420908409070997E-6</v>
          </cell>
        </row>
        <row r="981">
          <cell r="A981" t="str">
            <v>RHNM-SHCONBR2</v>
          </cell>
          <cell r="B981" t="str">
            <v>VAR_ncap</v>
          </cell>
          <cell r="C981" t="str">
            <v>-</v>
          </cell>
          <cell r="F981">
            <v>375</v>
          </cell>
          <cell r="G981">
            <v>7.50195762065316</v>
          </cell>
        </row>
        <row r="982">
          <cell r="A982" t="str">
            <v>RHNM-SHCONBR2</v>
          </cell>
          <cell r="B982" t="str">
            <v>VAR_cap</v>
          </cell>
          <cell r="C982" t="str">
            <v>-</v>
          </cell>
          <cell r="F982">
            <v>375</v>
          </cell>
          <cell r="G982">
            <v>18.511940608722</v>
          </cell>
          <cell r="H982">
            <v>10.008077518280004</v>
          </cell>
          <cell r="I982">
            <v>4.4990689345879673</v>
          </cell>
        </row>
        <row r="983">
          <cell r="A983" t="str">
            <v>RHSA-WHSTG-ELCHP</v>
          </cell>
          <cell r="B983" t="str">
            <v>VAR_fout</v>
          </cell>
          <cell r="C983" t="str">
            <v>RHSA-WHAELCH</v>
          </cell>
          <cell r="D983">
            <v>3.6492008900426573E-7</v>
          </cell>
          <cell r="E983">
            <v>4.6017413123187328E-7</v>
          </cell>
          <cell r="F983">
            <v>6.8701243062083583E-2</v>
          </cell>
          <cell r="G983">
            <v>0.16493729093189805</v>
          </cell>
          <cell r="H983">
            <v>0.57944430897562016</v>
          </cell>
          <cell r="I983">
            <v>0.67064582375435344</v>
          </cell>
        </row>
        <row r="984">
          <cell r="A984" t="str">
            <v>RHSA-WHSTG-ELCHP</v>
          </cell>
          <cell r="B984" t="str">
            <v>VAR_fin</v>
          </cell>
          <cell r="C984" t="str">
            <v>RHSA-WHAELCH</v>
          </cell>
          <cell r="D984">
            <v>4.9911447020782075E-6</v>
          </cell>
          <cell r="E984">
            <v>1.5586098987491542E-6</v>
          </cell>
          <cell r="F984">
            <v>6.8702165631540885E-2</v>
          </cell>
          <cell r="G984">
            <v>0.16493964880328654</v>
          </cell>
          <cell r="H984">
            <v>0.57945628699102325</v>
          </cell>
          <cell r="I984">
            <v>0.67065842081115801</v>
          </cell>
        </row>
        <row r="985">
          <cell r="A985" t="str">
            <v>RHSA-WHSTG-ELCHP</v>
          </cell>
          <cell r="B985" t="str">
            <v>VAR_ncap</v>
          </cell>
          <cell r="C985" t="str">
            <v>-</v>
          </cell>
          <cell r="D985">
            <v>6.5601912960608303E-3</v>
          </cell>
          <cell r="E985">
            <v>5.1629357509865102E-2</v>
          </cell>
          <cell r="F985">
            <v>1.5526059188007001E-2</v>
          </cell>
          <cell r="G985">
            <v>3.8964740327360602E-2</v>
          </cell>
          <cell r="H985">
            <v>9.7840286412244501E-2</v>
          </cell>
          <cell r="I985">
            <v>0.14118024813087199</v>
          </cell>
        </row>
        <row r="986">
          <cell r="A986" t="str">
            <v>RHSA-WHSTG-ELCHP</v>
          </cell>
          <cell r="B986" t="str">
            <v>VAR_cap</v>
          </cell>
          <cell r="C986" t="str">
            <v>-</v>
          </cell>
          <cell r="D986">
            <v>6.5614308254639186E-3</v>
          </cell>
          <cell r="E986">
            <v>5.8138836961510058E-2</v>
          </cell>
          <cell r="F986">
            <v>7.3639502142436142E-2</v>
          </cell>
          <cell r="G986">
            <v>0.11257426220920023</v>
          </cell>
          <cell r="H986">
            <v>0.1970088034297324</v>
          </cell>
          <cell r="I986">
            <v>0.24169329786193752</v>
          </cell>
        </row>
        <row r="987">
          <cell r="A987" t="str">
            <v>RHNM-SHCONBR3</v>
          </cell>
          <cell r="B987" t="str">
            <v>VAR_ncap</v>
          </cell>
          <cell r="C987" t="str">
            <v>-</v>
          </cell>
          <cell r="F987">
            <v>375</v>
          </cell>
          <cell r="G987">
            <v>7.50195762065339</v>
          </cell>
        </row>
        <row r="988">
          <cell r="A988" t="str">
            <v>RHNM-SHCONBR3</v>
          </cell>
          <cell r="B988" t="str">
            <v>VAR_cap</v>
          </cell>
          <cell r="C988" t="str">
            <v>-</v>
          </cell>
          <cell r="F988">
            <v>375</v>
          </cell>
          <cell r="G988">
            <v>18.511940608722</v>
          </cell>
          <cell r="H988">
            <v>10.008077518281027</v>
          </cell>
          <cell r="I988">
            <v>4.499068934587001</v>
          </cell>
        </row>
        <row r="989">
          <cell r="A989" t="str">
            <v>RES-ELCSPECADV</v>
          </cell>
          <cell r="B989" t="str">
            <v>VAR_fout</v>
          </cell>
          <cell r="C989" t="str">
            <v>RHSA-ELS</v>
          </cell>
          <cell r="F989">
            <v>4.9599471628180982</v>
          </cell>
          <cell r="G989">
            <v>13.282403798423076</v>
          </cell>
          <cell r="H989">
            <v>20.515840491760173</v>
          </cell>
          <cell r="I989">
            <v>27.690935878404105</v>
          </cell>
        </row>
        <row r="990">
          <cell r="A990" t="str">
            <v>RES-ELCSPECADV</v>
          </cell>
          <cell r="B990" t="str">
            <v>VAR_fin</v>
          </cell>
          <cell r="C990" t="str">
            <v>RHSA_ELC</v>
          </cell>
          <cell r="F990">
            <v>3.3066314418787366</v>
          </cell>
          <cell r="G990">
            <v>8.8549358656153903</v>
          </cell>
          <cell r="H990">
            <v>13.677226994506782</v>
          </cell>
          <cell r="I990">
            <v>18.460623918936086</v>
          </cell>
        </row>
        <row r="991">
          <cell r="A991" t="str">
            <v>RES-ELCSPECADV</v>
          </cell>
          <cell r="B991" t="str">
            <v>VAR_ncap</v>
          </cell>
          <cell r="C991" t="str">
            <v>-</v>
          </cell>
          <cell r="F991">
            <v>0.52426320861817399</v>
          </cell>
          <cell r="G991">
            <v>0.87967773518188097</v>
          </cell>
          <cell r="H991">
            <v>0.38800599807013197</v>
          </cell>
          <cell r="I991">
            <v>1.3663042802821601</v>
          </cell>
        </row>
        <row r="992">
          <cell r="A992" t="str">
            <v>RES-ELCSPECADV</v>
          </cell>
          <cell r="B992" t="str">
            <v>VAR_cap</v>
          </cell>
          <cell r="C992" t="str">
            <v>-</v>
          </cell>
          <cell r="F992">
            <v>0.52426320861817399</v>
          </cell>
          <cell r="G992">
            <v>1.4039408639228159</v>
          </cell>
          <cell r="H992">
            <v>2.168510173208662</v>
          </cell>
          <cell r="I992">
            <v>2.9269127547731122</v>
          </cell>
        </row>
        <row r="993">
          <cell r="A993" t="str">
            <v>ITOT-SWHSTG-ELCHP</v>
          </cell>
          <cell r="B993" t="str">
            <v>VAR_fout</v>
          </cell>
          <cell r="C993" t="str">
            <v>ITOT-SWHAELCH</v>
          </cell>
          <cell r="D993">
            <v>2.7529689038898397E-5</v>
          </cell>
          <cell r="E993">
            <v>1.374051244284958E-5</v>
          </cell>
          <cell r="F993">
            <v>1.8493573255775669E-3</v>
          </cell>
          <cell r="G993">
            <v>1.8326349424325723E-2</v>
          </cell>
          <cell r="H993">
            <v>2.4384807578294379E-2</v>
          </cell>
          <cell r="I993">
            <v>0.13829494000056292</v>
          </cell>
        </row>
        <row r="994">
          <cell r="A994" t="str">
            <v>ITOT-SWHSTG-ELCHP</v>
          </cell>
          <cell r="B994" t="str">
            <v>VAR_fin</v>
          </cell>
          <cell r="C994" t="str">
            <v>ITOT-SWHAELCH</v>
          </cell>
          <cell r="D994">
            <v>3.8643763093926551E-5</v>
          </cell>
          <cell r="E994">
            <v>1.8420141908082161E-5</v>
          </cell>
          <cell r="F994">
            <v>2.4025641947880562E-3</v>
          </cell>
          <cell r="G994">
            <v>2.2924364661042685E-2</v>
          </cell>
          <cell r="H994">
            <v>2.8709533329177615E-2</v>
          </cell>
          <cell r="I994">
            <v>0.15368436148460407</v>
          </cell>
        </row>
        <row r="995">
          <cell r="A995" t="str">
            <v>ITOT-SWHSTG-ELCHP</v>
          </cell>
          <cell r="B995" t="str">
            <v>VAR_ncap</v>
          </cell>
          <cell r="C995" t="str">
            <v>-</v>
          </cell>
          <cell r="D995">
            <v>1.44291693548545E-2</v>
          </cell>
          <cell r="E995">
            <v>3.6501295857517802E-3</v>
          </cell>
          <cell r="F995">
            <v>2.2349939359638801E-2</v>
          </cell>
          <cell r="G995">
            <v>3.8737555012014803E-4</v>
          </cell>
          <cell r="H995">
            <v>2.3213625297609099E-2</v>
          </cell>
          <cell r="I995">
            <v>4.7259768572833698E-2</v>
          </cell>
        </row>
        <row r="996">
          <cell r="A996" t="str">
            <v>ITOT-SWHSTG-ELCHP</v>
          </cell>
          <cell r="B996" t="str">
            <v>VAR_cap</v>
          </cell>
          <cell r="C996" t="str">
            <v>-</v>
          </cell>
          <cell r="D996">
            <v>1.44291693548545E-2</v>
          </cell>
          <cell r="E996">
            <v>1.7966505302111861E-2</v>
          </cell>
          <cell r="F996">
            <v>4.0291788334137962E-2</v>
          </cell>
          <cell r="G996">
            <v>4.0651043579319569E-2</v>
          </cell>
          <cell r="H996">
            <v>6.4962682027595434E-2</v>
          </cell>
          <cell r="I996">
            <v>7.9953030198497449E-2</v>
          </cell>
        </row>
        <row r="997">
          <cell r="A997" t="str">
            <v>D-RHNS_LTH_CHPWOD</v>
          </cell>
          <cell r="B997" t="str">
            <v>VAR_fout</v>
          </cell>
          <cell r="C997" t="str">
            <v>RHNS_LTH_CHPWOD_ON</v>
          </cell>
          <cell r="D997">
            <v>9.9379959371304324E-6</v>
          </cell>
          <cell r="E997">
            <v>4.0721486586221758E-6</v>
          </cell>
          <cell r="F997">
            <v>6.714330688566593E-7</v>
          </cell>
          <cell r="G997">
            <v>4.3973978503182934E-5</v>
          </cell>
          <cell r="H997">
            <v>1.555915646005215E-3</v>
          </cell>
        </row>
        <row r="998">
          <cell r="A998" t="str">
            <v>D-RHNS_LTH_CHPWOD</v>
          </cell>
          <cell r="B998" t="str">
            <v>VAR_fout</v>
          </cell>
          <cell r="C998" t="str">
            <v>RHSA_LTH</v>
          </cell>
          <cell r="D998">
            <v>3.4475849001017813E-6</v>
          </cell>
          <cell r="E998">
            <v>1.2528842139120692E-5</v>
          </cell>
          <cell r="F998">
            <v>5.3729886520755426E-6</v>
          </cell>
          <cell r="G998">
            <v>1.4111612910572902E-3</v>
          </cell>
          <cell r="H998">
            <v>1.1265562858631037E-3</v>
          </cell>
          <cell r="I998">
            <v>9.3596070299978827E-4</v>
          </cell>
        </row>
        <row r="999">
          <cell r="A999" t="str">
            <v>D-RHNS_LTH_CHPWOD</v>
          </cell>
          <cell r="B999" t="str">
            <v>VAR_fout</v>
          </cell>
          <cell r="C999" t="str">
            <v>LTH</v>
          </cell>
          <cell r="G999">
            <v>2.2867444233696359E-7</v>
          </cell>
          <cell r="H999">
            <v>2.4880618756700097E-6</v>
          </cell>
          <cell r="I999">
            <v>5.6525022426771331E-7</v>
          </cell>
        </row>
        <row r="1000">
          <cell r="A1000" t="str">
            <v>D-RHNS_LTH_CHPWOD</v>
          </cell>
          <cell r="B1000" t="str">
            <v>VAR_fin</v>
          </cell>
          <cell r="C1000" t="str">
            <v>RHNS_LTH_CHPWOD</v>
          </cell>
          <cell r="D1000">
            <v>1.3385580837232212E-5</v>
          </cell>
          <cell r="E1000">
            <v>1.689008845125229E-5</v>
          </cell>
          <cell r="F1000">
            <v>6.4284505121819702E-6</v>
          </cell>
          <cell r="G1000">
            <v>1.4560782587862218E-3</v>
          </cell>
          <cell r="H1000">
            <v>2.6859045882258021E-3</v>
          </cell>
          <cell r="I1000">
            <v>9.3777939486446114E-4</v>
          </cell>
        </row>
        <row r="1001">
          <cell r="A1001" t="str">
            <v>RHNM-SHCONBR4</v>
          </cell>
          <cell r="B1001" t="str">
            <v>VAR_ncap</v>
          </cell>
          <cell r="C1001" t="str">
            <v>-</v>
          </cell>
          <cell r="F1001">
            <v>375</v>
          </cell>
          <cell r="G1001">
            <v>7.50195762065316</v>
          </cell>
        </row>
        <row r="1002">
          <cell r="A1002" t="str">
            <v>RHNM-SHCONBR4</v>
          </cell>
          <cell r="B1002" t="str">
            <v>VAR_cap</v>
          </cell>
          <cell r="C1002" t="str">
            <v>-</v>
          </cell>
          <cell r="F1002">
            <v>375</v>
          </cell>
          <cell r="G1002">
            <v>18.511940608722</v>
          </cell>
          <cell r="H1002">
            <v>10.008077518280004</v>
          </cell>
          <cell r="I1002">
            <v>4.4990689345879673</v>
          </cell>
        </row>
        <row r="1003">
          <cell r="A1003" t="str">
            <v>D-SBIO</v>
          </cell>
          <cell r="B1003" t="str">
            <v>VAR_fout</v>
          </cell>
          <cell r="C1003" t="str">
            <v>SBIO</v>
          </cell>
          <cell r="D1003">
            <v>4.0476743803534765</v>
          </cell>
          <cell r="E1003">
            <v>4.5839552013394131</v>
          </cell>
          <cell r="F1003">
            <v>3.043077327467596</v>
          </cell>
          <cell r="G1003">
            <v>3.0325902990305615</v>
          </cell>
          <cell r="H1003">
            <v>2.9501120867446224</v>
          </cell>
          <cell r="I1003">
            <v>2.8715230456691416</v>
          </cell>
        </row>
        <row r="1004">
          <cell r="A1004" t="str">
            <v>D-SBIO</v>
          </cell>
          <cell r="B1004" t="str">
            <v>VAR_fin</v>
          </cell>
          <cell r="C1004" t="str">
            <v>BIO</v>
          </cell>
          <cell r="D1004">
            <v>4.0476743803534765</v>
          </cell>
          <cell r="E1004">
            <v>4.5839552013394131</v>
          </cell>
          <cell r="F1004">
            <v>3.043077327467596</v>
          </cell>
          <cell r="G1004">
            <v>3.0325902990305615</v>
          </cell>
          <cell r="H1004">
            <v>2.9501120867446224</v>
          </cell>
          <cell r="I1004">
            <v>2.8715230456691416</v>
          </cell>
        </row>
        <row r="1005">
          <cell r="A1005" t="str">
            <v>RHEM-SHDEM</v>
          </cell>
          <cell r="B1005" t="str">
            <v>VAR_fout</v>
          </cell>
          <cell r="C1005" t="str">
            <v>RHEM-SHD</v>
          </cell>
          <cell r="D1005">
            <v>66.986774791699034</v>
          </cell>
          <cell r="E1005">
            <v>66.782026660973088</v>
          </cell>
          <cell r="F1005">
            <v>65.263631094419139</v>
          </cell>
          <cell r="G1005">
            <v>63.325490696901824</v>
          </cell>
          <cell r="H1005">
            <v>59.30962683686996</v>
          </cell>
          <cell r="I1005">
            <v>56.82077355596779</v>
          </cell>
        </row>
        <row r="1006">
          <cell r="A1006" t="str">
            <v>RHEM-SHDEM</v>
          </cell>
          <cell r="B1006" t="str">
            <v>VAR_fin</v>
          </cell>
          <cell r="C1006" t="str">
            <v>RHEM-SHNST</v>
          </cell>
          <cell r="D1006">
            <v>1.8819136531434988E-4</v>
          </cell>
          <cell r="F1006">
            <v>1.5316037158364843E-6</v>
          </cell>
          <cell r="H1006">
            <v>4.935156665461555E-7</v>
          </cell>
        </row>
        <row r="1007">
          <cell r="A1007" t="str">
            <v>RHEM-SHDEM</v>
          </cell>
          <cell r="B1007" t="str">
            <v>VAR_fin</v>
          </cell>
          <cell r="C1007" t="str">
            <v>RHEM-SHPLT</v>
          </cell>
          <cell r="D1007">
            <v>1.4007171591856438</v>
          </cell>
          <cell r="E1007">
            <v>1.6077075072853371</v>
          </cell>
          <cell r="F1007">
            <v>0.29316166953898015</v>
          </cell>
          <cell r="G1007">
            <v>0.41571364086923157</v>
          </cell>
          <cell r="H1007">
            <v>0.48538319197235563</v>
          </cell>
          <cell r="I1007">
            <v>0.40026556760376014</v>
          </cell>
        </row>
        <row r="1008">
          <cell r="A1008" t="str">
            <v>RHEM-SHDEM</v>
          </cell>
          <cell r="B1008" t="str">
            <v>VAR_fin</v>
          </cell>
          <cell r="C1008" t="str">
            <v>RHEM-SHNGAH</v>
          </cell>
          <cell r="D1008">
            <v>2.2872254174747649E-4</v>
          </cell>
          <cell r="E1008">
            <v>7.3878982021941764E-5</v>
          </cell>
          <cell r="F1008">
            <v>2.3359918373365951</v>
          </cell>
          <cell r="G1008">
            <v>6.8726977585566491</v>
          </cell>
          <cell r="H1008">
            <v>10.06248010408086</v>
          </cell>
          <cell r="I1008">
            <v>8.8783261109329086</v>
          </cell>
        </row>
        <row r="1009">
          <cell r="A1009" t="str">
            <v>RHEM-SHDEM</v>
          </cell>
          <cell r="B1009" t="str">
            <v>VAR_fin</v>
          </cell>
          <cell r="C1009" t="str">
            <v>RHEM-SHLTHC-WOD</v>
          </cell>
          <cell r="D1009">
            <v>1.8815569140350941E-4</v>
          </cell>
          <cell r="E1009">
            <v>4.493765262355129E-5</v>
          </cell>
          <cell r="F1009">
            <v>8.722201860497464E-7</v>
          </cell>
        </row>
        <row r="1010">
          <cell r="A1010" t="str">
            <v>RHEM-SHDEM</v>
          </cell>
          <cell r="B1010" t="str">
            <v>VAR_fin</v>
          </cell>
          <cell r="C1010" t="str">
            <v>RHEM-SHSOL</v>
          </cell>
          <cell r="D1010">
            <v>0.40822805811857665</v>
          </cell>
          <cell r="E1010">
            <v>0.47090696328547921</v>
          </cell>
          <cell r="F1010">
            <v>9.0108321058220073E-3</v>
          </cell>
          <cell r="G1010">
            <v>1.0939506718383828E-2</v>
          </cell>
          <cell r="H1010">
            <v>1.049582471848191E-2</v>
          </cell>
          <cell r="I1010">
            <v>8.6435171634175936E-3</v>
          </cell>
        </row>
        <row r="1011">
          <cell r="A1011" t="str">
            <v>RHEM-SHDEM</v>
          </cell>
          <cell r="B1011" t="str">
            <v>VAR_fin</v>
          </cell>
          <cell r="C1011" t="str">
            <v>RHEM-SHLTHD</v>
          </cell>
          <cell r="D1011">
            <v>3.3958190475182195</v>
          </cell>
          <cell r="E1011">
            <v>3.7886332751224572</v>
          </cell>
          <cell r="F1011">
            <v>4.4068770831765809</v>
          </cell>
          <cell r="G1011">
            <v>5.2338302594551447</v>
          </cell>
          <cell r="H1011">
            <v>5.4733715373624419</v>
          </cell>
          <cell r="I1011">
            <v>4.9155128747015313</v>
          </cell>
        </row>
        <row r="1012">
          <cell r="A1012" t="str">
            <v>RHEM-SHDEM</v>
          </cell>
          <cell r="B1012" t="str">
            <v>VAR_fin</v>
          </cell>
          <cell r="C1012" t="str">
            <v>RHEM-SHNGA</v>
          </cell>
          <cell r="D1012">
            <v>18.998762387201591</v>
          </cell>
          <cell r="E1012">
            <v>19.208327385829975</v>
          </cell>
          <cell r="F1012">
            <v>21.038363892866027</v>
          </cell>
          <cell r="G1012">
            <v>15.389647116800575</v>
          </cell>
          <cell r="H1012">
            <v>4.0556558227644759</v>
          </cell>
          <cell r="I1012">
            <v>1.4923707954620589</v>
          </cell>
        </row>
        <row r="1013">
          <cell r="A1013" t="str">
            <v>RHEM-SHDEM</v>
          </cell>
          <cell r="B1013" t="str">
            <v>VAR_fin</v>
          </cell>
          <cell r="C1013" t="str">
            <v>RHEM-SHELCB</v>
          </cell>
          <cell r="D1013">
            <v>4.6274897725841866</v>
          </cell>
          <cell r="E1013">
            <v>1.8904598912984185</v>
          </cell>
          <cell r="F1013">
            <v>3.5747477851658528E-2</v>
          </cell>
          <cell r="G1013">
            <v>1.0868130645685136E-2</v>
          </cell>
          <cell r="H1013">
            <v>2.2560725299750318E-3</v>
          </cell>
          <cell r="I1013">
            <v>2.4991289464300799E-3</v>
          </cell>
        </row>
        <row r="1014">
          <cell r="A1014" t="str">
            <v>RHEM-SHDEM</v>
          </cell>
          <cell r="B1014" t="str">
            <v>VAR_fin</v>
          </cell>
          <cell r="C1014" t="str">
            <v>RHEM-SHELCH</v>
          </cell>
          <cell r="D1014">
            <v>9.9019308044824488</v>
          </cell>
          <cell r="E1014">
            <v>11.655102797304046</v>
          </cell>
          <cell r="F1014">
            <v>9.7017649009120817</v>
          </cell>
          <cell r="G1014">
            <v>14.184804203600214</v>
          </cell>
          <cell r="H1014">
            <v>21.493188465342687</v>
          </cell>
          <cell r="I1014">
            <v>21.630905067917496</v>
          </cell>
        </row>
        <row r="1015">
          <cell r="A1015" t="str">
            <v>RHEM-SHDEM</v>
          </cell>
          <cell r="B1015" t="str">
            <v>VAR_fin</v>
          </cell>
          <cell r="C1015" t="str">
            <v>RHEM-SHLFO</v>
          </cell>
          <cell r="D1015">
            <v>23.443042798100056</v>
          </cell>
          <cell r="E1015">
            <v>19.079031157854377</v>
          </cell>
          <cell r="F1015">
            <v>19.255563311181859</v>
          </cell>
          <cell r="G1015">
            <v>10.180142944842615</v>
          </cell>
          <cell r="H1015">
            <v>2.4120288539893595</v>
          </cell>
          <cell r="I1015">
            <v>0.17213349221036278</v>
          </cell>
        </row>
        <row r="1016">
          <cell r="A1016" t="str">
            <v>RHEM-SHDEM</v>
          </cell>
          <cell r="B1016" t="str">
            <v>VAR_fin</v>
          </cell>
          <cell r="C1016" t="str">
            <v>RHEM-SHCON</v>
          </cell>
          <cell r="D1016">
            <v>1.6804612419494193E-2</v>
          </cell>
          <cell r="E1016">
            <v>3.7627763947205195</v>
          </cell>
          <cell r="F1016">
            <v>2.8693600207427763</v>
          </cell>
          <cell r="G1016">
            <v>5.9142089971451961</v>
          </cell>
          <cell r="H1016">
            <v>11.271436072863532</v>
          </cell>
          <cell r="I1016">
            <v>16.624023020594606</v>
          </cell>
        </row>
        <row r="1017">
          <cell r="A1017" t="str">
            <v>RHEM-SHDEM</v>
          </cell>
          <cell r="B1017" t="str">
            <v>VAR_fin</v>
          </cell>
          <cell r="C1017" t="str">
            <v>RHEM-SHWOD</v>
          </cell>
          <cell r="D1017">
            <v>4.7433905599154453</v>
          </cell>
          <cell r="E1017">
            <v>5.317701589135484</v>
          </cell>
          <cell r="F1017">
            <v>5.3180161290827828</v>
          </cell>
          <cell r="G1017">
            <v>5.1128154928408414</v>
          </cell>
          <cell r="H1017">
            <v>4.0434943084493957</v>
          </cell>
          <cell r="I1017">
            <v>2.6962303897394815</v>
          </cell>
        </row>
        <row r="1018">
          <cell r="A1018" t="str">
            <v>RHEM-SHDEM</v>
          </cell>
          <cell r="B1018" t="str">
            <v>VAR_fin</v>
          </cell>
          <cell r="C1018" t="str">
            <v>RHEM-SHLTHC-NGA</v>
          </cell>
          <cell r="D1018">
            <v>5.0206797414766705E-2</v>
          </cell>
          <cell r="E1018">
            <v>1.4733427689091194E-3</v>
          </cell>
          <cell r="F1018">
            <v>5.3250189814718763E-7</v>
          </cell>
          <cell r="H1018">
            <v>1.106254372658516E-7</v>
          </cell>
        </row>
        <row r="1019">
          <cell r="A1019" t="str">
            <v>ITOT-SWHH2BR</v>
          </cell>
          <cell r="B1019" t="str">
            <v>VAR_fout</v>
          </cell>
          <cell r="C1019" t="str">
            <v>ITOT-SWH</v>
          </cell>
          <cell r="G1019">
            <v>14.911434159683969</v>
          </cell>
          <cell r="H1019">
            <v>14.913688459375546</v>
          </cell>
          <cell r="I1019">
            <v>16.119491744926083</v>
          </cell>
        </row>
        <row r="1020">
          <cell r="A1020" t="str">
            <v>ITOT-SWHH2BR</v>
          </cell>
          <cell r="B1020" t="str">
            <v>VAR_fin</v>
          </cell>
          <cell r="C1020" t="str">
            <v>IH2</v>
          </cell>
          <cell r="G1020">
            <v>18.523444045139971</v>
          </cell>
          <cell r="H1020">
            <v>18.445517098673278</v>
          </cell>
          <cell r="I1020">
            <v>19.85037904045199</v>
          </cell>
        </row>
        <row r="1021">
          <cell r="A1021" t="str">
            <v>ITOT-SWHH2BR</v>
          </cell>
          <cell r="B1021" t="str">
            <v>VAR_ncap</v>
          </cell>
          <cell r="C1021" t="str">
            <v>-</v>
          </cell>
          <cell r="G1021">
            <v>1.64483789233277</v>
          </cell>
          <cell r="H1021">
            <v>0.11482139066097601</v>
          </cell>
          <cell r="I1021">
            <v>1.27782999207976</v>
          </cell>
        </row>
        <row r="1022">
          <cell r="A1022" t="str">
            <v>ITOT-SWHH2BR</v>
          </cell>
          <cell r="B1022" t="str">
            <v>VAR_cap</v>
          </cell>
          <cell r="C1022" t="str">
            <v>-</v>
          </cell>
          <cell r="G1022">
            <v>1.64483789233277</v>
          </cell>
          <cell r="H1022">
            <v>1.2347925984244899</v>
          </cell>
          <cell r="I1022">
            <v>1.3611686927537612</v>
          </cell>
        </row>
        <row r="1023">
          <cell r="A1023" t="str">
            <v>RHNS-SHSTG-ELC</v>
          </cell>
          <cell r="B1023" t="str">
            <v>VAR_fout</v>
          </cell>
          <cell r="C1023" t="str">
            <v>RHNS-SHAELCB</v>
          </cell>
          <cell r="E1023">
            <v>3.3187160550860903E-6</v>
          </cell>
          <cell r="F1023">
            <v>3.2769675934586038E-4</v>
          </cell>
          <cell r="G1023">
            <v>1.2113231807490599E-3</v>
          </cell>
          <cell r="H1023">
            <v>1.4470359241262518E-3</v>
          </cell>
          <cell r="I1023">
            <v>9.6438539546384234E-4</v>
          </cell>
        </row>
        <row r="1024">
          <cell r="A1024" t="str">
            <v>RHNS-SHSTG-ELC</v>
          </cell>
          <cell r="B1024" t="str">
            <v>VAR_fin</v>
          </cell>
          <cell r="C1024" t="str">
            <v>RHNS-SHAELCB</v>
          </cell>
          <cell r="E1024">
            <v>3.4733213842636235E-7</v>
          </cell>
          <cell r="F1024">
            <v>3.247680858904817E-4</v>
          </cell>
          <cell r="G1024">
            <v>1.208351902939374E-3</v>
          </cell>
          <cell r="H1024">
            <v>1.445226217382479E-3</v>
          </cell>
          <cell r="I1024">
            <v>9.6328815149961285E-4</v>
          </cell>
        </row>
        <row r="1025">
          <cell r="A1025" t="str">
            <v>RHNS-SHSTG-ELC</v>
          </cell>
          <cell r="B1025" t="str">
            <v>VAR_ncap</v>
          </cell>
          <cell r="C1025" t="str">
            <v>-</v>
          </cell>
          <cell r="D1025">
            <v>4.8690767117776897E-5</v>
          </cell>
          <cell r="E1025">
            <v>8.3731127823401296E-4</v>
          </cell>
          <cell r="F1025">
            <v>4.5411868125500498E-5</v>
          </cell>
          <cell r="G1025">
            <v>3.32067683359942E-5</v>
          </cell>
          <cell r="H1025">
            <v>2.7364635708755501E-5</v>
          </cell>
          <cell r="I1025">
            <v>2.2904435670757699E-5</v>
          </cell>
        </row>
        <row r="1026">
          <cell r="A1026" t="str">
            <v>RHNS-SHSTG-ELC</v>
          </cell>
          <cell r="B1026" t="str">
            <v>VAR_cap</v>
          </cell>
          <cell r="C1026" t="str">
            <v>-</v>
          </cell>
          <cell r="D1026">
            <v>4.8690767117776897E-5</v>
          </cell>
          <cell r="E1026">
            <v>8.8113112873572407E-4</v>
          </cell>
          <cell r="F1026">
            <v>9.0609639123010713E-4</v>
          </cell>
          <cell r="G1026">
            <v>9.0477467872619223E-4</v>
          </cell>
          <cell r="H1026">
            <v>2.780582550168506E-4</v>
          </cell>
          <cell r="I1026">
            <v>1.1754389202597501E-4</v>
          </cell>
        </row>
        <row r="1027">
          <cell r="A1027" t="str">
            <v>RHES-SHCOABR</v>
          </cell>
          <cell r="B1027" t="str">
            <v>VAR_fout</v>
          </cell>
          <cell r="C1027" t="str">
            <v>CO2_R</v>
          </cell>
          <cell r="D1027">
            <v>9.2700566823638209</v>
          </cell>
          <cell r="E1027">
            <v>9.2699744280713894</v>
          </cell>
          <cell r="F1027">
            <v>2.4637410685892398</v>
          </cell>
          <cell r="G1027">
            <v>2.0839161823898101E-2</v>
          </cell>
        </row>
        <row r="1028">
          <cell r="A1028" t="str">
            <v>RHES-SHCOABR</v>
          </cell>
          <cell r="B1028" t="str">
            <v>VAR_fout</v>
          </cell>
          <cell r="C1028" t="str">
            <v>RHES-SHCOA</v>
          </cell>
          <cell r="D1028">
            <v>7.200044025136941E-2</v>
          </cell>
          <cell r="E1028">
            <v>7.1999801383078724E-2</v>
          </cell>
          <cell r="F1028">
            <v>2.1220623355085004E-2</v>
          </cell>
          <cell r="G1028">
            <v>1.7984174173806333E-4</v>
          </cell>
        </row>
        <row r="1029">
          <cell r="A1029" t="str">
            <v>RHES-SHCOABR</v>
          </cell>
          <cell r="B1029" t="str">
            <v>VAR_fin</v>
          </cell>
          <cell r="C1029" t="str">
            <v>RCOA</v>
          </cell>
          <cell r="D1029">
            <v>0.1000006114602353</v>
          </cell>
          <cell r="E1029">
            <v>9.9999724143164895E-2</v>
          </cell>
          <cell r="F1029">
            <v>2.6577573555439486E-2</v>
          </cell>
          <cell r="G1029">
            <v>2.2480217717257934E-4</v>
          </cell>
        </row>
        <row r="1030">
          <cell r="A1030" t="str">
            <v>RHES-SHCOABR</v>
          </cell>
          <cell r="B1030" t="str">
            <v>VAR_cap</v>
          </cell>
          <cell r="C1030" t="str">
            <v>-</v>
          </cell>
          <cell r="D1030">
            <v>7.0000000000000001E-3</v>
          </cell>
          <cell r="E1030">
            <v>6.5355923079012269E-3</v>
          </cell>
          <cell r="F1030">
            <v>2.3376633427110698E-3</v>
          </cell>
          <cell r="G1030">
            <v>2.5273780213920516E-5</v>
          </cell>
        </row>
        <row r="1031">
          <cell r="A1031" t="str">
            <v>D-INGA</v>
          </cell>
          <cell r="B1031" t="str">
            <v>VAR_fout</v>
          </cell>
          <cell r="C1031" t="str">
            <v>CO2</v>
          </cell>
          <cell r="D1031">
            <v>2101.94194039984</v>
          </cell>
          <cell r="E1031">
            <v>1819.5418082249901</v>
          </cell>
          <cell r="F1031">
            <v>1736.4613995039899</v>
          </cell>
          <cell r="G1031">
            <v>592.68308622974405</v>
          </cell>
          <cell r="H1031">
            <v>390.66215365749099</v>
          </cell>
          <cell r="I1031">
            <v>67.510452742815104</v>
          </cell>
        </row>
        <row r="1032">
          <cell r="A1032" t="str">
            <v>D-INGA</v>
          </cell>
          <cell r="B1032" t="str">
            <v>VAR_fout</v>
          </cell>
          <cell r="C1032" t="str">
            <v>INGA</v>
          </cell>
          <cell r="D1032">
            <v>37.474687541245203</v>
          </cell>
          <cell r="E1032">
            <v>32.158995638216773</v>
          </cell>
          <cell r="F1032">
            <v>30.708864906995288</v>
          </cell>
          <cell r="G1032">
            <v>10.689788204761255</v>
          </cell>
          <cell r="H1032">
            <v>9.3869793938538848</v>
          </cell>
          <cell r="I1032">
            <v>3.7866607593342301</v>
          </cell>
        </row>
        <row r="1033">
          <cell r="A1033" t="str">
            <v>D-INGA</v>
          </cell>
          <cell r="B1033" t="str">
            <v>VAR_fin</v>
          </cell>
          <cell r="C1033" t="str">
            <v>NGA</v>
          </cell>
          <cell r="D1033">
            <v>37.268474120564626</v>
          </cell>
          <cell r="E1033">
            <v>32.261379578457195</v>
          </cell>
          <cell r="F1033">
            <v>30.788322686241013</v>
          </cell>
          <cell r="G1033">
            <v>10.508565358683409</v>
          </cell>
          <cell r="H1033">
            <v>6.9266339300973572</v>
          </cell>
          <cell r="I1033">
            <v>1.1969938429577143</v>
          </cell>
        </row>
        <row r="1034">
          <cell r="A1034" t="str">
            <v>D-INGA</v>
          </cell>
          <cell r="B1034" t="str">
            <v>VAR_fin</v>
          </cell>
          <cell r="C1034" t="str">
            <v>BNGA</v>
          </cell>
          <cell r="D1034">
            <v>0.3259307915564153</v>
          </cell>
          <cell r="E1034">
            <v>3.8060215178050441E-4</v>
          </cell>
          <cell r="F1034">
            <v>4.9050829101542201E-4</v>
          </cell>
          <cell r="G1034">
            <v>4.9296753835347418E-4</v>
          </cell>
          <cell r="H1034">
            <v>2.4632721419025159</v>
          </cell>
          <cell r="I1034">
            <v>2.4998148395144533</v>
          </cell>
        </row>
        <row r="1035">
          <cell r="A1035" t="str">
            <v>D-INGA</v>
          </cell>
          <cell r="B1035" t="str">
            <v>VAR_fin</v>
          </cell>
          <cell r="C1035" t="str">
            <v>H2</v>
          </cell>
          <cell r="F1035">
            <v>1.8154853822327538E-2</v>
          </cell>
          <cell r="G1035">
            <v>0.2149150247591389</v>
          </cell>
          <cell r="H1035">
            <v>2.7262863211251587E-2</v>
          </cell>
          <cell r="I1035">
            <v>0.10202260661020193</v>
          </cell>
        </row>
        <row r="1036">
          <cell r="A1036" t="str">
            <v>D-INGA</v>
          </cell>
          <cell r="B1036" t="str">
            <v>VAR_ncap</v>
          </cell>
          <cell r="C1036" t="str">
            <v>-</v>
          </cell>
          <cell r="D1036">
            <v>1.7288079234559601E-6</v>
          </cell>
          <cell r="E1036">
            <v>8.3408147524758097E-7</v>
          </cell>
          <cell r="F1036">
            <v>1.3811491944818501E-6</v>
          </cell>
          <cell r="G1036">
            <v>2.9935470824506301E-6</v>
          </cell>
          <cell r="H1036">
            <v>7.2853859556788797E-6</v>
          </cell>
          <cell r="I1036">
            <v>1.82997558410783E-5</v>
          </cell>
        </row>
        <row r="1037">
          <cell r="A1037" t="str">
            <v>D-INGA</v>
          </cell>
          <cell r="B1037" t="str">
            <v>VAR_cap</v>
          </cell>
          <cell r="C1037" t="str">
            <v>-</v>
          </cell>
          <cell r="D1037">
            <v>1.9844850990740235</v>
          </cell>
          <cell r="E1037">
            <v>1.9844859331554987</v>
          </cell>
          <cell r="F1037">
            <v>1.9844873143046933</v>
          </cell>
          <cell r="G1037">
            <v>1.9844903078517757</v>
          </cell>
          <cell r="H1037">
            <v>1.9845028436095267</v>
          </cell>
          <cell r="I1037">
            <v>1.0954972105451877</v>
          </cell>
        </row>
        <row r="1038">
          <cell r="A1038" t="str">
            <v>RHEM-SHNGAHP</v>
          </cell>
          <cell r="B1038" t="str">
            <v>VAR_fout</v>
          </cell>
          <cell r="C1038" t="str">
            <v>CO2_R</v>
          </cell>
          <cell r="F1038">
            <v>69.106372353530404</v>
          </cell>
          <cell r="G1038">
            <v>196.96726556118099</v>
          </cell>
          <cell r="H1038">
            <v>282.45291562492201</v>
          </cell>
          <cell r="I1038">
            <v>236.151254106164</v>
          </cell>
        </row>
        <row r="1039">
          <cell r="A1039" t="str">
            <v>RHEM-SHNGAHP</v>
          </cell>
          <cell r="B1039" t="str">
            <v>VAR_fout</v>
          </cell>
          <cell r="C1039" t="str">
            <v>RHEM-SHANGAH</v>
          </cell>
          <cell r="F1039">
            <v>2.3359908875587383</v>
          </cell>
          <cell r="G1039">
            <v>6.8727005243881276</v>
          </cell>
          <cell r="H1039">
            <v>10.062477768855171</v>
          </cell>
          <cell r="I1039">
            <v>8.8783257141407876</v>
          </cell>
        </row>
        <row r="1040">
          <cell r="A1040" t="str">
            <v>RHEM-SHNGAHP</v>
          </cell>
          <cell r="B1040" t="str">
            <v>VAR_fin</v>
          </cell>
          <cell r="C1040" t="str">
            <v>RHEMELCHPC</v>
          </cell>
          <cell r="F1040">
            <v>2.3359908875587383</v>
          </cell>
          <cell r="G1040">
            <v>6.8727005243881276</v>
          </cell>
          <cell r="H1040">
            <v>10.062477768855171</v>
          </cell>
          <cell r="I1040">
            <v>8.8783257141407876</v>
          </cell>
        </row>
        <row r="1041">
          <cell r="A1041" t="str">
            <v>RHEM-SHNGAHP</v>
          </cell>
          <cell r="B1041" t="str">
            <v>VAR_fin</v>
          </cell>
          <cell r="C1041" t="str">
            <v>RNGA</v>
          </cell>
          <cell r="F1041">
            <v>1.2252902899562137</v>
          </cell>
          <cell r="G1041">
            <v>3.4923274035670309</v>
          </cell>
          <cell r="H1041">
            <v>5.0080304188815834</v>
          </cell>
          <cell r="I1041">
            <v>4.1870789735135467</v>
          </cell>
        </row>
        <row r="1042">
          <cell r="A1042" t="str">
            <v>RHEM-SHNGAHP</v>
          </cell>
          <cell r="B1042" t="str">
            <v>VAR_ncap</v>
          </cell>
          <cell r="C1042" t="str">
            <v>-</v>
          </cell>
          <cell r="D1042">
            <v>1.9511621558750599E-7</v>
          </cell>
          <cell r="E1042">
            <v>6.3292749909947504E-7</v>
          </cell>
          <cell r="F1042">
            <v>0.16498234705655501</v>
          </cell>
          <cell r="G1042">
            <v>0.320333960523565</v>
          </cell>
          <cell r="H1042">
            <v>0.35465330149921398</v>
          </cell>
          <cell r="I1042">
            <v>0.32502555188134602</v>
          </cell>
        </row>
        <row r="1043">
          <cell r="A1043" t="str">
            <v>RHEM-SHNGAHP</v>
          </cell>
          <cell r="B1043" t="str">
            <v>VAR_cap</v>
          </cell>
          <cell r="C1043" t="str">
            <v>-</v>
          </cell>
          <cell r="D1043">
            <v>1.9511621558750599E-7</v>
          </cell>
          <cell r="E1043">
            <v>6.8117959830161905E-7</v>
          </cell>
          <cell r="F1043">
            <v>0.16498299341182207</v>
          </cell>
          <cell r="G1043">
            <v>0.48531690452020471</v>
          </cell>
          <cell r="H1043">
            <v>0.71057674960277784</v>
          </cell>
          <cell r="I1043">
            <v>0.62805799987682054</v>
          </cell>
        </row>
        <row r="1044">
          <cell r="A1044" t="str">
            <v>D-SPLT</v>
          </cell>
          <cell r="B1044" t="str">
            <v>VAR_fout</v>
          </cell>
          <cell r="C1044" t="str">
            <v>SPLT</v>
          </cell>
          <cell r="D1044">
            <v>2.0856353375040459</v>
          </cell>
          <cell r="E1044">
            <v>2.4000917538240611</v>
          </cell>
          <cell r="F1044">
            <v>0.61690733980762757</v>
          </cell>
          <cell r="G1044">
            <v>1.1279259295440145</v>
          </cell>
          <cell r="H1044">
            <v>1.794546048410405</v>
          </cell>
          <cell r="I1044">
            <v>1.8313019711807192</v>
          </cell>
        </row>
        <row r="1045">
          <cell r="A1045" t="str">
            <v>D-SPLT</v>
          </cell>
          <cell r="B1045" t="str">
            <v>VAR_fin</v>
          </cell>
          <cell r="C1045" t="str">
            <v>PLT</v>
          </cell>
          <cell r="D1045">
            <v>2.0856353375040459</v>
          </cell>
          <cell r="E1045">
            <v>2.4000917538240611</v>
          </cell>
          <cell r="F1045">
            <v>0.61690733980762757</v>
          </cell>
          <cell r="G1045">
            <v>1.1279259295440145</v>
          </cell>
          <cell r="H1045">
            <v>1.794546048410405</v>
          </cell>
          <cell r="I1045">
            <v>1.8313019711807192</v>
          </cell>
        </row>
        <row r="1046">
          <cell r="A1046" t="str">
            <v>RHES-SHCONBR</v>
          </cell>
          <cell r="B1046" t="str">
            <v>VAR_fout</v>
          </cell>
          <cell r="C1046" t="str">
            <v>RHES-SHCON</v>
          </cell>
          <cell r="F1046">
            <v>1.2632792531062125E-4</v>
          </cell>
          <cell r="G1046">
            <v>1.3519334377099459E-4</v>
          </cell>
          <cell r="H1046">
            <v>1.6272138634626941E-4</v>
          </cell>
          <cell r="I1046">
            <v>1.7232021388400657E-4</v>
          </cell>
        </row>
        <row r="1047">
          <cell r="A1047" t="str">
            <v>RHES-SHCONBR</v>
          </cell>
          <cell r="B1047" t="str">
            <v>VAR_fin</v>
          </cell>
          <cell r="C1047" t="str">
            <v>CON</v>
          </cell>
          <cell r="F1047">
            <v>1.2632792531062125E-4</v>
          </cell>
          <cell r="G1047">
            <v>1.3519334377099459E-4</v>
          </cell>
          <cell r="H1047">
            <v>1.6272138634626941E-4</v>
          </cell>
          <cell r="I1047">
            <v>1.7232021388400657E-4</v>
          </cell>
        </row>
        <row r="1048">
          <cell r="A1048" t="str">
            <v>RHES-SHCONBR</v>
          </cell>
          <cell r="B1048" t="str">
            <v>VAR_ncap</v>
          </cell>
          <cell r="C1048" t="str">
            <v>-</v>
          </cell>
          <cell r="E1048">
            <v>3.0182086760766903E-8</v>
          </cell>
          <cell r="F1048">
            <v>1.21208444726736E-5</v>
          </cell>
          <cell r="G1048">
            <v>1.41046075856973E-7</v>
          </cell>
          <cell r="H1048">
            <v>1.2185310567101999E-7</v>
          </cell>
          <cell r="I1048">
            <v>7.2170298453789894E-8</v>
          </cell>
        </row>
        <row r="1049">
          <cell r="A1049" t="str">
            <v>RHES-SHCONBR</v>
          </cell>
          <cell r="B1049" t="str">
            <v>VAR_cap</v>
          </cell>
          <cell r="C1049" t="str">
            <v>-</v>
          </cell>
          <cell r="E1049">
            <v>3.0182086760766903E-8</v>
          </cell>
          <cell r="F1049">
            <v>1.2131948849607683E-5</v>
          </cell>
          <cell r="G1049">
            <v>1.2259048346998928E-5</v>
          </cell>
          <cell r="H1049">
            <v>1.5056019059542223E-5</v>
          </cell>
          <cell r="I1049">
            <v>1.52040928014138E-5</v>
          </cell>
        </row>
        <row r="1050">
          <cell r="A1050" t="str">
            <v>RHSA-WHSOLBR</v>
          </cell>
          <cell r="B1050" t="str">
            <v>VAR_fout</v>
          </cell>
          <cell r="C1050" t="str">
            <v>RHSA-WHASOL</v>
          </cell>
          <cell r="D1050">
            <v>1.721488024659851</v>
          </cell>
          <cell r="E1050">
            <v>1.9867254340531444</v>
          </cell>
          <cell r="F1050">
            <v>0.8996509379361024</v>
          </cell>
          <cell r="G1050">
            <v>1.0468289460600935</v>
          </cell>
          <cell r="H1050">
            <v>1.1918071047676859</v>
          </cell>
          <cell r="I1050">
            <v>1.1959260833199212</v>
          </cell>
        </row>
        <row r="1051">
          <cell r="A1051" t="str">
            <v>RHSA-WHSOLBR</v>
          </cell>
          <cell r="B1051" t="str">
            <v>VAR_fin</v>
          </cell>
          <cell r="C1051" t="str">
            <v>SOL</v>
          </cell>
          <cell r="D1051">
            <v>1.721488024659851</v>
          </cell>
          <cell r="E1051">
            <v>1.9867254340531444</v>
          </cell>
          <cell r="F1051">
            <v>0.8996509379361024</v>
          </cell>
          <cell r="G1051">
            <v>1.0468289460600935</v>
          </cell>
          <cell r="H1051">
            <v>1.1918071047676859</v>
          </cell>
          <cell r="I1051">
            <v>1.1959260833199212</v>
          </cell>
        </row>
        <row r="1052">
          <cell r="A1052" t="str">
            <v>RHSA-WHSOLBR</v>
          </cell>
          <cell r="B1052" t="str">
            <v>VAR_fin</v>
          </cell>
          <cell r="C1052" t="str">
            <v>RHSASOLBRC</v>
          </cell>
          <cell r="D1052">
            <v>1.721488024659851</v>
          </cell>
          <cell r="E1052">
            <v>1.9867254340531444</v>
          </cell>
          <cell r="F1052">
            <v>0.8996509379361024</v>
          </cell>
          <cell r="G1052">
            <v>1.0468289460600935</v>
          </cell>
          <cell r="H1052">
            <v>1.1918071047676859</v>
          </cell>
          <cell r="I1052">
            <v>1.1959260833199212</v>
          </cell>
        </row>
        <row r="1053">
          <cell r="A1053" t="str">
            <v>RHSA-WHSOLBR</v>
          </cell>
          <cell r="B1053" t="str">
            <v>VAR_ncap</v>
          </cell>
          <cell r="C1053" t="str">
            <v>-</v>
          </cell>
          <cell r="E1053">
            <v>8.2489792279428598E-2</v>
          </cell>
          <cell r="F1053">
            <v>1.1747048257695201E-6</v>
          </cell>
          <cell r="G1053">
            <v>1.4336024835223399E-6</v>
          </cell>
          <cell r="H1053">
            <v>0.11910502557859701</v>
          </cell>
          <cell r="I1053">
            <v>0.11176334493295199</v>
          </cell>
        </row>
        <row r="1054">
          <cell r="A1054" t="str">
            <v>RHSA-WHSOLBR</v>
          </cell>
          <cell r="B1054" t="str">
            <v>VAR_cap</v>
          </cell>
          <cell r="C1054" t="str">
            <v>-</v>
          </cell>
          <cell r="D1054">
            <v>0.25000991745774798</v>
          </cell>
          <cell r="E1054">
            <v>0.33249957105879463</v>
          </cell>
          <cell r="F1054">
            <v>0.33249981236305032</v>
          </cell>
          <cell r="G1054">
            <v>0.33250098725274851</v>
          </cell>
          <cell r="H1054">
            <v>0.25786111196539696</v>
          </cell>
          <cell r="I1054">
            <v>0.25689422548220769</v>
          </cell>
        </row>
        <row r="1055">
          <cell r="A1055" t="str">
            <v>SCOM-SHCONBR</v>
          </cell>
          <cell r="B1055" t="str">
            <v>VAR_ncap</v>
          </cell>
          <cell r="C1055" t="str">
            <v>-</v>
          </cell>
          <cell r="D1055">
            <v>1.36705887390608E-8</v>
          </cell>
          <cell r="E1055">
            <v>1.6083844818640499E-8</v>
          </cell>
          <cell r="F1055">
            <v>1.62575212095115E-8</v>
          </cell>
          <cell r="G1055">
            <v>1.6167843736384301E-8</v>
          </cell>
          <cell r="H1055">
            <v>6.3768024070430895E-8</v>
          </cell>
          <cell r="I1055">
            <v>6.8867100231604294E-8</v>
          </cell>
        </row>
        <row r="1056">
          <cell r="A1056" t="str">
            <v>SCOM-SHCONBR</v>
          </cell>
          <cell r="B1056" t="str">
            <v>VAR_cap</v>
          </cell>
          <cell r="C1056" t="str">
            <v>-</v>
          </cell>
          <cell r="D1056">
            <v>1.36705887390608E-8</v>
          </cell>
          <cell r="E1056">
            <v>1.4596427828612701E-8</v>
          </cell>
          <cell r="F1056">
            <v>1.5081995839212098E-8</v>
          </cell>
          <cell r="G1056">
            <v>1.4588030876503799E-8</v>
          </cell>
          <cell r="H1056">
            <v>2.5177434197418425E-7</v>
          </cell>
          <cell r="I1056">
            <v>3.68755438013671E-7</v>
          </cell>
        </row>
        <row r="1057">
          <cell r="A1057" t="str">
            <v>RHNM-SHNGABR</v>
          </cell>
          <cell r="B1057" t="str">
            <v>VAR_fout</v>
          </cell>
          <cell r="C1057" t="str">
            <v>CO2_R</v>
          </cell>
          <cell r="E1057">
            <v>43.0991268779809</v>
          </cell>
          <cell r="F1057">
            <v>7.3591506165175797</v>
          </cell>
          <cell r="G1057">
            <v>9.1044569409523</v>
          </cell>
          <cell r="H1057">
            <v>5.2124988889340802</v>
          </cell>
        </row>
        <row r="1058">
          <cell r="A1058" t="str">
            <v>RHNM-SHNGABR</v>
          </cell>
          <cell r="B1058" t="str">
            <v>VAR_fout</v>
          </cell>
          <cell r="C1058" t="str">
            <v>RHNM-SHNGA</v>
          </cell>
          <cell r="E1058">
            <v>0.72596047046244505</v>
          </cell>
          <cell r="F1058">
            <v>0.1252069801807095</v>
          </cell>
          <cell r="G1058">
            <v>0.15490124053220825</v>
          </cell>
          <cell r="H1058">
            <v>8.8684316857693998E-2</v>
          </cell>
        </row>
        <row r="1059">
          <cell r="A1059" t="str">
            <v>RHNM-SHNGABR</v>
          </cell>
          <cell r="B1059" t="str">
            <v>VAR_fin</v>
          </cell>
          <cell r="C1059" t="str">
            <v>RNGA</v>
          </cell>
          <cell r="E1059">
            <v>0.76416891627625694</v>
          </cell>
          <cell r="F1059">
            <v>0.13048139390988611</v>
          </cell>
          <cell r="G1059">
            <v>0.16142654150624641</v>
          </cell>
          <cell r="H1059">
            <v>9.2420193066206982E-2</v>
          </cell>
        </row>
        <row r="1060">
          <cell r="A1060" t="str">
            <v>RHNM-SHNGABR</v>
          </cell>
          <cell r="B1060" t="str">
            <v>VAR_ncap</v>
          </cell>
          <cell r="C1060" t="str">
            <v>-</v>
          </cell>
          <cell r="E1060">
            <v>5.6388785181056902E-2</v>
          </cell>
          <cell r="F1060">
            <v>1.2998761061634199E-6</v>
          </cell>
          <cell r="G1060">
            <v>1.9395982819890499E-6</v>
          </cell>
          <cell r="H1060">
            <v>7.0040652468437497E-3</v>
          </cell>
          <cell r="I1060">
            <v>2.5750384810902702E-7</v>
          </cell>
        </row>
        <row r="1061">
          <cell r="A1061" t="str">
            <v>RHNM-SHNGABR</v>
          </cell>
          <cell r="B1061" t="str">
            <v>VAR_cap</v>
          </cell>
          <cell r="C1061" t="str">
            <v>-</v>
          </cell>
          <cell r="E1061">
            <v>5.6388785181056902E-2</v>
          </cell>
          <cell r="F1061">
            <v>2.7698678228106302E-2</v>
          </cell>
          <cell r="G1061">
            <v>2.7607997602823304E-2</v>
          </cell>
          <cell r="H1061">
            <v>7.0307523344400541E-3</v>
          </cell>
          <cell r="I1061">
            <v>1.2786774518629661E-5</v>
          </cell>
        </row>
        <row r="1062">
          <cell r="A1062" t="str">
            <v>RHES-SHSOLBR</v>
          </cell>
          <cell r="B1062" t="str">
            <v>VAR_fout</v>
          </cell>
          <cell r="C1062" t="str">
            <v>RHES-SHASOL</v>
          </cell>
          <cell r="D1062">
            <v>0.37732610756439694</v>
          </cell>
          <cell r="E1062">
            <v>0.435464075918297</v>
          </cell>
          <cell r="F1062">
            <v>2.0950929494229976E-2</v>
          </cell>
          <cell r="G1062">
            <v>2.2386751572362366E-2</v>
          </cell>
          <cell r="H1062">
            <v>2.1324476481762788E-2</v>
          </cell>
          <cell r="I1062">
            <v>1.9311866176799836E-2</v>
          </cell>
        </row>
        <row r="1063">
          <cell r="A1063" t="str">
            <v>RHES-SHSOLBR</v>
          </cell>
          <cell r="B1063" t="str">
            <v>VAR_fin</v>
          </cell>
          <cell r="C1063" t="str">
            <v>SOL</v>
          </cell>
          <cell r="D1063">
            <v>0.37732610756439694</v>
          </cell>
          <cell r="E1063">
            <v>0.435464075918297</v>
          </cell>
          <cell r="F1063">
            <v>2.0950929494229976E-2</v>
          </cell>
          <cell r="G1063">
            <v>2.2386751572362366E-2</v>
          </cell>
          <cell r="H1063">
            <v>2.1324476481762788E-2</v>
          </cell>
          <cell r="I1063">
            <v>1.9311866176799836E-2</v>
          </cell>
        </row>
        <row r="1064">
          <cell r="A1064" t="str">
            <v>RHES-SHSOLBR</v>
          </cell>
          <cell r="B1064" t="str">
            <v>VAR_ncap</v>
          </cell>
          <cell r="C1064" t="str">
            <v>-</v>
          </cell>
          <cell r="E1064">
            <v>8.4589476481456705E-3</v>
          </cell>
          <cell r="F1064">
            <v>3.6260685112907898E-7</v>
          </cell>
          <cell r="G1064">
            <v>3.3089803084947E-7</v>
          </cell>
          <cell r="H1064">
            <v>3.1589875114879399E-3</v>
          </cell>
          <cell r="I1064">
            <v>5.7322014622116001E-4</v>
          </cell>
        </row>
        <row r="1065">
          <cell r="A1065" t="str">
            <v>RHES-SHSOLBR</v>
          </cell>
          <cell r="B1065" t="str">
            <v>VAR_cap</v>
          </cell>
          <cell r="C1065" t="str">
            <v>-</v>
          </cell>
          <cell r="D1065">
            <v>5.4798678617278197E-2</v>
          </cell>
          <cell r="E1065">
            <v>6.3257567599289119E-2</v>
          </cell>
          <cell r="F1065">
            <v>6.325711919182142E-2</v>
          </cell>
          <cell r="G1065">
            <v>6.3256896362116857E-2</v>
          </cell>
          <cell r="H1065">
            <v>3.1607759828870979E-3</v>
          </cell>
          <cell r="I1065">
            <v>2.8663412478727294E-3</v>
          </cell>
        </row>
        <row r="1066">
          <cell r="A1066" t="str">
            <v>SCOM-SHSOLBR</v>
          </cell>
          <cell r="B1066" t="str">
            <v>VAR_fout</v>
          </cell>
          <cell r="C1066" t="str">
            <v>SCOM-SHASOL</v>
          </cell>
          <cell r="D1066">
            <v>0.62699543143269842</v>
          </cell>
          <cell r="E1066">
            <v>0.68733497560772716</v>
          </cell>
          <cell r="F1066">
            <v>0.5235588634146302</v>
          </cell>
          <cell r="G1066">
            <v>0.61153554282192013</v>
          </cell>
          <cell r="H1066">
            <v>0.73497390536342855</v>
          </cell>
          <cell r="I1066">
            <v>0.77999180878400287</v>
          </cell>
        </row>
        <row r="1067">
          <cell r="A1067" t="str">
            <v>SCOM-SHSOLBR</v>
          </cell>
          <cell r="B1067" t="str">
            <v>VAR_fin</v>
          </cell>
          <cell r="C1067" t="str">
            <v>SOL</v>
          </cell>
          <cell r="D1067">
            <v>0.62699543143269842</v>
          </cell>
          <cell r="E1067">
            <v>0.68733497560772716</v>
          </cell>
          <cell r="F1067">
            <v>0.5235588634146302</v>
          </cell>
          <cell r="G1067">
            <v>0.61153554282192013</v>
          </cell>
          <cell r="H1067">
            <v>0.73497390536342855</v>
          </cell>
          <cell r="I1067">
            <v>0.77999180878400287</v>
          </cell>
        </row>
        <row r="1068">
          <cell r="A1068" t="str">
            <v>SCOM-SHSOLBR</v>
          </cell>
          <cell r="B1068" t="str">
            <v>VAR_ncap</v>
          </cell>
          <cell r="C1068" t="str">
            <v>-</v>
          </cell>
          <cell r="D1068">
            <v>5.8299161550524997E-5</v>
          </cell>
          <cell r="E1068">
            <v>8.7385699016403803E-3</v>
          </cell>
          <cell r="F1068">
            <v>7.5950513902925196E-7</v>
          </cell>
          <cell r="G1068">
            <v>8.4095891489137503E-7</v>
          </cell>
          <cell r="H1068">
            <v>4.0633462737683097E-2</v>
          </cell>
          <cell r="I1068">
            <v>8.6345380730972504E-2</v>
          </cell>
        </row>
        <row r="1069">
          <cell r="A1069" t="str">
            <v>SCOM-SHSOLBR</v>
          </cell>
          <cell r="B1069" t="str">
            <v>VAR_cap</v>
          </cell>
          <cell r="C1069" t="str">
            <v>-</v>
          </cell>
          <cell r="D1069">
            <v>9.1115892637630022E-2</v>
          </cell>
          <cell r="E1069">
            <v>9.9854339285483748E-2</v>
          </cell>
          <cell r="F1069">
            <v>9.9854392874528075E-2</v>
          </cell>
          <cell r="G1069">
            <v>9.9854940278038276E-2</v>
          </cell>
          <cell r="H1069">
            <v>0.10890765850724445</v>
          </cell>
          <cell r="I1069">
            <v>0.14471354295802072</v>
          </cell>
        </row>
        <row r="1070">
          <cell r="A1070" t="str">
            <v>RHEM-SHSTG-ELCHP</v>
          </cell>
          <cell r="B1070" t="str">
            <v>VAR_fout</v>
          </cell>
          <cell r="C1070" t="str">
            <v>RHEM-SHAELCH</v>
          </cell>
          <cell r="D1070">
            <v>9.9566086916532737E-7</v>
          </cell>
          <cell r="E1070">
            <v>1.8865881345373713E-6</v>
          </cell>
          <cell r="F1070">
            <v>0.16277454103922626</v>
          </cell>
          <cell r="G1070">
            <v>0.3247614686838482</v>
          </cell>
          <cell r="H1070">
            <v>0.71482295872965429</v>
          </cell>
          <cell r="I1070">
            <v>0.78710617626786827</v>
          </cell>
        </row>
        <row r="1071">
          <cell r="A1071" t="str">
            <v>RHEM-SHSTG-ELCHP</v>
          </cell>
          <cell r="B1071" t="str">
            <v>VAR_fin</v>
          </cell>
          <cell r="C1071" t="str">
            <v>RHEM-SHAELCH</v>
          </cell>
          <cell r="D1071">
            <v>6.4230192704340171E-6</v>
          </cell>
          <cell r="E1071">
            <v>2.469553903566188E-6</v>
          </cell>
          <cell r="F1071">
            <v>0.16277791559516072</v>
          </cell>
          <cell r="G1071">
            <v>0.32476773206803727</v>
          </cell>
          <cell r="H1071">
            <v>0.71483988549065025</v>
          </cell>
          <cell r="I1071">
            <v>0.78712761937600095</v>
          </cell>
        </row>
        <row r="1072">
          <cell r="A1072" t="str">
            <v>RHEM-SHSTG-ELCHP</v>
          </cell>
          <cell r="B1072" t="str">
            <v>VAR_ncap</v>
          </cell>
          <cell r="C1072" t="str">
            <v>-</v>
          </cell>
          <cell r="D1072">
            <v>7.9751304580628294E-3</v>
          </cell>
          <cell r="E1072">
            <v>0.185712405527858</v>
          </cell>
          <cell r="F1072">
            <v>6.6284505708210596E-5</v>
          </cell>
          <cell r="G1072">
            <v>4.2076914972128301E-2</v>
          </cell>
          <cell r="H1072">
            <v>0.18004128016502599</v>
          </cell>
          <cell r="I1072">
            <v>0.166569190726474</v>
          </cell>
        </row>
        <row r="1073">
          <cell r="A1073" t="str">
            <v>RHEM-SHSTG-ELCHP</v>
          </cell>
          <cell r="B1073" t="str">
            <v>VAR_cap</v>
          </cell>
          <cell r="C1073" t="str">
            <v>-</v>
          </cell>
          <cell r="D1073">
            <v>7.9751304580628294E-3</v>
          </cell>
          <cell r="E1073">
            <v>0.19365053083647718</v>
          </cell>
          <cell r="F1073">
            <v>0.19365041016083914</v>
          </cell>
          <cell r="G1073">
            <v>0.23569559920711375</v>
          </cell>
          <cell r="H1073">
            <v>0.35711551653543216</v>
          </cell>
          <cell r="I1073">
            <v>0.35993717007543702</v>
          </cell>
        </row>
        <row r="1074">
          <cell r="A1074" t="str">
            <v>ITOT-SWHELCBR</v>
          </cell>
          <cell r="B1074" t="str">
            <v>VAR_fout</v>
          </cell>
          <cell r="C1074" t="str">
            <v>ITOT-SWHAELC</v>
          </cell>
          <cell r="D1074">
            <v>9.8138954573852644</v>
          </cell>
          <cell r="E1074">
            <v>10.335083438722085</v>
          </cell>
          <cell r="F1074">
            <v>13.576838287652182</v>
          </cell>
          <cell r="G1074">
            <v>13.576840446439899</v>
          </cell>
          <cell r="H1074">
            <v>13.57684228872391</v>
          </cell>
          <cell r="I1074">
            <v>13.576842545338986</v>
          </cell>
        </row>
        <row r="1075">
          <cell r="A1075" t="str">
            <v>ITOT-SWHELCBR</v>
          </cell>
          <cell r="B1075" t="str">
            <v>VAR_fin</v>
          </cell>
          <cell r="C1075" t="str">
            <v>ITOT_ELC</v>
          </cell>
          <cell r="D1075">
            <v>11.646944875218708</v>
          </cell>
          <cell r="E1075">
            <v>12.258978535956402</v>
          </cell>
          <cell r="F1075">
            <v>16.091396222636909</v>
          </cell>
          <cell r="G1075">
            <v>16.070117429278469</v>
          </cell>
          <cell r="H1075">
            <v>16.027725325999945</v>
          </cell>
          <cell r="I1075">
            <v>15.985554434872547</v>
          </cell>
        </row>
        <row r="1076">
          <cell r="A1076" t="str">
            <v>ITOT-SWHELCBR</v>
          </cell>
          <cell r="B1076" t="str">
            <v>VAR_ncap</v>
          </cell>
          <cell r="C1076" t="str">
            <v>-</v>
          </cell>
          <cell r="E1076">
            <v>0.122478816885032</v>
          </cell>
          <cell r="F1076">
            <v>0.15075935364095899</v>
          </cell>
          <cell r="G1076">
            <v>0.28426700633424601</v>
          </cell>
          <cell r="H1076">
            <v>0.49893340824489801</v>
          </cell>
          <cell r="I1076">
            <v>0.69227868504252899</v>
          </cell>
        </row>
        <row r="1077">
          <cell r="A1077" t="str">
            <v>ITOT-SWHELCBR</v>
          </cell>
          <cell r="B1077" t="str">
            <v>VAR_cap</v>
          </cell>
          <cell r="C1077" t="str">
            <v>-</v>
          </cell>
          <cell r="D1077">
            <v>0.55644997413134401</v>
          </cell>
          <cell r="E1077">
            <v>0.67892409299168721</v>
          </cell>
          <cell r="F1077">
            <v>0.82967126285800419</v>
          </cell>
          <cell r="G1077">
            <v>1.1139167277068194</v>
          </cell>
          <cell r="H1077">
            <v>1.1151034363410224</v>
          </cell>
          <cell r="I1077">
            <v>1.2215905273978007</v>
          </cell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452.78842715206275</v>
          </cell>
          <cell r="J4">
            <v>1997.0522801483448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33.428573131618485</v>
          </cell>
          <cell r="J5">
            <v>794.18996311057515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110.07164577845475</v>
          </cell>
          <cell r="J6">
            <v>248.57700933787584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309.28820824198959</v>
          </cell>
          <cell r="J7">
            <v>954.28530769989197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H8">
            <v>432.26883411538569</v>
          </cell>
          <cell r="I8">
            <v>-63.27107970416521</v>
          </cell>
          <cell r="J8">
            <v>-40.732008982803009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362.87590449611827</v>
          </cell>
          <cell r="J9">
            <v>1256.8800651599101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0.26449599728742762</v>
          </cell>
          <cell r="J10">
            <v>0.17383716015756298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404.78033975075141</v>
          </cell>
          <cell r="J11">
            <v>1199.2494352147369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220.39195320694617</v>
          </cell>
          <cell r="J12">
            <v>787.84983027140947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0.23882635326183832</v>
          </cell>
          <cell r="J13">
            <v>74.056330068726069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6.0527278259905658E-3</v>
          </cell>
          <cell r="J14">
            <v>2.2235753982106275E-2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297.19594109590548</v>
          </cell>
          <cell r="J15">
            <v>1430.4749118719421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0.21431265707685224</v>
          </cell>
          <cell r="J16">
            <v>176.92243215478501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9.5377483982425834E-2</v>
          </cell>
          <cell r="J17">
            <v>1031.8784233636054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1026.0866293836525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2.7294503645321627E-2</v>
          </cell>
          <cell r="J19">
            <v>69.614864104172241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2.1902225635885873E-2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3.4954697179421256E-3</v>
          </cell>
          <cell r="J21">
            <v>8.6076005507660724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6.5705537765287283E-3</v>
          </cell>
          <cell r="J22">
            <v>0.25755334510381006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4.5892539191535214E-2</v>
          </cell>
          <cell r="J23">
            <v>638.45375885505416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1286.1213057395357</v>
          </cell>
          <cell r="J24">
            <v>7700.5347900599036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H25">
            <v>432.26883411538569</v>
          </cell>
          <cell r="I25">
            <v>-63.810880466324271</v>
          </cell>
          <cell r="J25">
            <v>-41.392008981929955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833.33287858747633</v>
          </cell>
          <cell r="J26">
            <v>3461.5386153010259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833.33287858747633</v>
          </cell>
          <cell r="J27">
            <v>3461.5386153010259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-63.27107970416521</v>
          </cell>
          <cell r="J28">
            <v>-40.732008982803009</v>
          </cell>
        </row>
        <row r="29">
          <cell r="B29" t="str">
            <v>CO2_R</v>
          </cell>
          <cell r="C29" t="str">
            <v>VAR_fout</v>
          </cell>
          <cell r="D29" t="str">
            <v>RHNM-SHLFOBR</v>
          </cell>
          <cell r="F29">
            <v>1.9705522365601399E-3</v>
          </cell>
          <cell r="G29">
            <v>4.2643914734625703</v>
          </cell>
          <cell r="H29">
            <v>6.7666703577237097</v>
          </cell>
          <cell r="I29">
            <v>4.5806559794673696</v>
          </cell>
        </row>
        <row r="30">
          <cell r="B30" t="str">
            <v>CO2_R</v>
          </cell>
          <cell r="C30" t="str">
            <v>VAR_fout</v>
          </cell>
          <cell r="D30" t="str">
            <v>RHNS-SHNGAHP</v>
          </cell>
          <cell r="G30">
            <v>4.9330797895861798</v>
          </cell>
          <cell r="H30">
            <v>17.1713294095054</v>
          </cell>
          <cell r="I30">
            <v>27.8506320316502</v>
          </cell>
          <cell r="J30">
            <v>31.530762511178501</v>
          </cell>
        </row>
        <row r="31">
          <cell r="B31" t="str">
            <v>CO2_R</v>
          </cell>
          <cell r="C31" t="str">
            <v>VAR_fout</v>
          </cell>
          <cell r="D31" t="str">
            <v>RHNS-CHPGFC</v>
          </cell>
          <cell r="H31">
            <v>1.7853224929259299E-2</v>
          </cell>
          <cell r="I31">
            <v>4.7185586768652699E-2</v>
          </cell>
          <cell r="J31">
            <v>2.7871997056386402E-2</v>
          </cell>
        </row>
        <row r="32">
          <cell r="B32" t="str">
            <v>CO2_R</v>
          </cell>
          <cell r="C32" t="str">
            <v>VAR_fout</v>
          </cell>
          <cell r="D32" t="str">
            <v>RHES-CHPNGA</v>
          </cell>
          <cell r="E32">
            <v>9.9132429282297707</v>
          </cell>
          <cell r="F32">
            <v>0.38484989450492801</v>
          </cell>
          <cell r="G32">
            <v>0.67204246244111498</v>
          </cell>
          <cell r="H32">
            <v>4.5775464991540398</v>
          </cell>
          <cell r="I32">
            <v>0.32470753062337898</v>
          </cell>
          <cell r="J32">
            <v>4.5667256132857201E-2</v>
          </cell>
        </row>
        <row r="33">
          <cell r="B33" t="str">
            <v>CO2_R</v>
          </cell>
          <cell r="C33" t="str">
            <v>VAR_fout</v>
          </cell>
          <cell r="D33" t="str">
            <v>RHEM-CHPGFC</v>
          </cell>
          <cell r="H33">
            <v>4.27521849932593E-2</v>
          </cell>
          <cell r="I33">
            <v>0.16808226548917601</v>
          </cell>
          <cell r="J33">
            <v>4.3487460689160297E-2</v>
          </cell>
        </row>
        <row r="34">
          <cell r="B34" t="str">
            <v>CO2_R</v>
          </cell>
          <cell r="C34" t="str">
            <v>VAR_fout</v>
          </cell>
          <cell r="D34" t="str">
            <v>RHEM-SHNGABR</v>
          </cell>
          <cell r="E34">
            <v>1127.9633014803201</v>
          </cell>
          <cell r="F34">
            <v>1140.3736780833301</v>
          </cell>
          <cell r="G34">
            <v>1264.6600169736901</v>
          </cell>
          <cell r="H34">
            <v>923.35065396921402</v>
          </cell>
          <cell r="I34">
            <v>243.33168616409401</v>
          </cell>
          <cell r="J34">
            <v>89.539146576855899</v>
          </cell>
        </row>
        <row r="35">
          <cell r="B35" t="str">
            <v>CO2_R</v>
          </cell>
          <cell r="C35" t="str">
            <v>VAR_fout</v>
          </cell>
          <cell r="D35" t="str">
            <v>RHSA-WHNGAHP</v>
          </cell>
          <cell r="G35">
            <v>27.6128540286179</v>
          </cell>
          <cell r="H35">
            <v>79.167737097320497</v>
          </cell>
          <cell r="I35">
            <v>128.152164572788</v>
          </cell>
          <cell r="J35">
            <v>118.61774173227499</v>
          </cell>
        </row>
        <row r="36">
          <cell r="B36" t="str">
            <v>CO2_R</v>
          </cell>
          <cell r="C36" t="str">
            <v>VAR_fout</v>
          </cell>
          <cell r="D36" t="str">
            <v>RHEM-SHLFOBR</v>
          </cell>
          <cell r="E36">
            <v>1928.71061337895</v>
          </cell>
          <cell r="F36">
            <v>1569.63604084087</v>
          </cell>
          <cell r="G36">
            <v>1668.9213106078601</v>
          </cell>
          <cell r="H36">
            <v>864.38773889213905</v>
          </cell>
          <cell r="I36">
            <v>204.80305536604899</v>
          </cell>
          <cell r="J36">
            <v>14.528340223287699</v>
          </cell>
        </row>
        <row r="37">
          <cell r="B37" t="str">
            <v>CO2_R</v>
          </cell>
          <cell r="C37" t="str">
            <v>VAR_fout</v>
          </cell>
          <cell r="D37" t="str">
            <v>RHES-SHNGAHP</v>
          </cell>
          <cell r="G37">
            <v>67.321106905031101</v>
          </cell>
          <cell r="H37">
            <v>166.30243740061101</v>
          </cell>
          <cell r="I37">
            <v>217.98986546967799</v>
          </cell>
          <cell r="J37">
            <v>188.212653299658</v>
          </cell>
        </row>
        <row r="38">
          <cell r="B38" t="str">
            <v>CO2_R</v>
          </cell>
          <cell r="C38" t="str">
            <v>VAR_fout</v>
          </cell>
          <cell r="D38" t="str">
            <v>RHNS-SHNGABR</v>
          </cell>
          <cell r="F38">
            <v>6.0645781572687696</v>
          </cell>
          <cell r="G38">
            <v>2.6069814831117499</v>
          </cell>
          <cell r="H38">
            <v>3.8037405897310701</v>
          </cell>
          <cell r="I38">
            <v>3.37239635789954</v>
          </cell>
          <cell r="J38">
            <v>1.1481708541608999</v>
          </cell>
        </row>
        <row r="39">
          <cell r="B39" t="str">
            <v>CO2_R</v>
          </cell>
          <cell r="C39" t="str">
            <v>VAR_fout</v>
          </cell>
          <cell r="D39" t="str">
            <v>RHNS-SHLFOBR</v>
          </cell>
          <cell r="F39">
            <v>5.7798564658257199E-3</v>
          </cell>
          <cell r="G39">
            <v>1.7340436994214199</v>
          </cell>
          <cell r="H39">
            <v>3.6732209410219299</v>
          </cell>
          <cell r="I39">
            <v>3.2316959368523102</v>
          </cell>
        </row>
        <row r="40">
          <cell r="B40" t="str">
            <v>CO2_R</v>
          </cell>
          <cell r="C40" t="str">
            <v>VAR_fout</v>
          </cell>
          <cell r="D40" t="str">
            <v>RHES-CHPGFC</v>
          </cell>
          <cell r="H40">
            <v>1.7671172755303201E-2</v>
          </cell>
          <cell r="I40">
            <v>4.7521691659968501E-2</v>
          </cell>
          <cell r="J40">
            <v>2.8874972905018E-2</v>
          </cell>
        </row>
        <row r="41">
          <cell r="B41" t="str">
            <v>CO2_R</v>
          </cell>
          <cell r="C41" t="str">
            <v>VAR_fout</v>
          </cell>
          <cell r="D41" t="str">
            <v>RHNM-CHPNGA</v>
          </cell>
          <cell r="F41">
            <v>0.25805103354054099</v>
          </cell>
          <cell r="G41">
            <v>0.576474105799618</v>
          </cell>
          <cell r="H41">
            <v>4.5053824792659096</v>
          </cell>
          <cell r="I41">
            <v>20.288559448464898</v>
          </cell>
          <cell r="J41">
            <v>5.28532277387452E-2</v>
          </cell>
        </row>
        <row r="42">
          <cell r="B42" t="str">
            <v>CO2_R</v>
          </cell>
          <cell r="C42" t="str">
            <v>VAR_fout</v>
          </cell>
          <cell r="D42" t="str">
            <v>RHNM-SHNGAHP</v>
          </cell>
          <cell r="G42">
            <v>6.2051436702226797</v>
          </cell>
          <cell r="H42">
            <v>19.3108406741053</v>
          </cell>
          <cell r="I42">
            <v>33.5401969442105</v>
          </cell>
          <cell r="J42">
            <v>39.004729887505</v>
          </cell>
        </row>
        <row r="43">
          <cell r="B43" t="str">
            <v>CO2_R</v>
          </cell>
          <cell r="C43" t="str">
            <v>VAR_fout</v>
          </cell>
          <cell r="D43" t="str">
            <v>RHES-SHNGABR</v>
          </cell>
          <cell r="E43">
            <v>1043.13528915139</v>
          </cell>
          <cell r="F43">
            <v>1118.2298770974801</v>
          </cell>
          <cell r="G43">
            <v>642.00334227958399</v>
          </cell>
          <cell r="H43">
            <v>457.19838391497399</v>
          </cell>
          <cell r="I43">
            <v>144.900018033912</v>
          </cell>
          <cell r="J43">
            <v>56.913241943147597</v>
          </cell>
        </row>
        <row r="44">
          <cell r="B44" t="str">
            <v>CO2_R</v>
          </cell>
          <cell r="C44" t="str">
            <v>VAR_fout</v>
          </cell>
          <cell r="D44" t="str">
            <v>RHSA-WHNGABR</v>
          </cell>
          <cell r="E44">
            <v>479.81003294998402</v>
          </cell>
          <cell r="F44">
            <v>414.48846076810997</v>
          </cell>
          <cell r="G44">
            <v>551.06863373936699</v>
          </cell>
          <cell r="H44">
            <v>356.584537071348</v>
          </cell>
          <cell r="I44">
            <v>150.506635284775</v>
          </cell>
          <cell r="J44">
            <v>65.087136410146201</v>
          </cell>
        </row>
        <row r="45">
          <cell r="B45" t="str">
            <v>CO2_R</v>
          </cell>
          <cell r="C45" t="str">
            <v>VAR_fout</v>
          </cell>
          <cell r="D45" t="str">
            <v>RHSA-WHLFOBR</v>
          </cell>
          <cell r="E45">
            <v>726.712472457329</v>
          </cell>
          <cell r="F45">
            <v>571.67152729428301</v>
          </cell>
          <cell r="G45">
            <v>636.62508265287704</v>
          </cell>
          <cell r="H45">
            <v>287.60126495115099</v>
          </cell>
          <cell r="I45">
            <v>96.515004791850004</v>
          </cell>
          <cell r="J45">
            <v>6.4862899371640301</v>
          </cell>
        </row>
        <row r="46">
          <cell r="B46" t="str">
            <v>CO2_R</v>
          </cell>
          <cell r="C46" t="str">
            <v>VAR_fout</v>
          </cell>
          <cell r="D46" t="str">
            <v>RHES-SHLFOBR</v>
          </cell>
          <cell r="E46">
            <v>1783.66273604044</v>
          </cell>
          <cell r="F46">
            <v>1640.9693779555</v>
          </cell>
          <cell r="G46">
            <v>1200.9748379960399</v>
          </cell>
          <cell r="H46">
            <v>574.84539334087106</v>
          </cell>
          <cell r="I46">
            <v>106.876721504119</v>
          </cell>
          <cell r="J46">
            <v>5.86011339972631</v>
          </cell>
        </row>
        <row r="47">
          <cell r="B47" t="str">
            <v>CO2_R</v>
          </cell>
          <cell r="C47" t="str">
            <v>VAR_fout</v>
          </cell>
          <cell r="D47" t="str">
            <v>RHNS-CHPNGA</v>
          </cell>
          <cell r="F47">
            <v>0.103320526174542</v>
          </cell>
          <cell r="G47">
            <v>0.349734360318396</v>
          </cell>
          <cell r="H47">
            <v>4.5085697741763999</v>
          </cell>
          <cell r="I47">
            <v>0.28487810221999399</v>
          </cell>
          <cell r="J47">
            <v>4.4636135320917897E-2</v>
          </cell>
        </row>
        <row r="48">
          <cell r="B48" t="str">
            <v>CO2_R</v>
          </cell>
          <cell r="C48" t="str">
            <v>VAR_fout</v>
          </cell>
          <cell r="D48" t="str">
            <v>RHNM-CHPGFC</v>
          </cell>
          <cell r="H48">
            <v>4.27658107031305E-2</v>
          </cell>
          <cell r="I48">
            <v>0.168150653711236</v>
          </cell>
          <cell r="J48">
            <v>4.3479731421362501E-2</v>
          </cell>
        </row>
        <row r="49">
          <cell r="B49" t="str">
            <v>CO2_R</v>
          </cell>
          <cell r="C49" t="str">
            <v>VAR_fout</v>
          </cell>
          <cell r="D49" t="str">
            <v>RHEM-CHPNGA</v>
          </cell>
          <cell r="E49">
            <v>11.074055155590299</v>
          </cell>
          <cell r="F49">
            <v>0.16060057540019801</v>
          </cell>
          <cell r="G49">
            <v>0.65954618538167598</v>
          </cell>
          <cell r="H49">
            <v>4.5208343549815098</v>
          </cell>
          <cell r="I49">
            <v>20.2566329110563</v>
          </cell>
          <cell r="J49">
            <v>5.2858093613561197E-2</v>
          </cell>
        </row>
        <row r="50">
          <cell r="B50" t="str">
            <v>CO2_R</v>
          </cell>
          <cell r="C50" t="str">
            <v>VAR_fout</v>
          </cell>
          <cell r="D50" t="str">
            <v>RHES-SHCOABR</v>
          </cell>
          <cell r="E50">
            <v>9.2700566823638209</v>
          </cell>
          <cell r="F50">
            <v>9.2699744280713894</v>
          </cell>
          <cell r="G50">
            <v>2.4637410685892398</v>
          </cell>
          <cell r="H50">
            <v>2.0839161823898101E-2</v>
          </cell>
        </row>
        <row r="51">
          <cell r="B51" t="str">
            <v>CO2_R</v>
          </cell>
          <cell r="C51" t="str">
            <v>VAR_fout</v>
          </cell>
          <cell r="D51" t="str">
            <v>RHEM-SHNGAHP</v>
          </cell>
          <cell r="G51">
            <v>69.106372353530404</v>
          </cell>
          <cell r="H51">
            <v>196.96726556118099</v>
          </cell>
          <cell r="I51">
            <v>282.45291562492201</v>
          </cell>
          <cell r="J51">
            <v>236.151254106164</v>
          </cell>
        </row>
        <row r="52">
          <cell r="B52" t="str">
            <v>CO2_R</v>
          </cell>
          <cell r="C52" t="str">
            <v>VAR_fout</v>
          </cell>
          <cell r="D52" t="str">
            <v>RHNM-SHNGABR</v>
          </cell>
          <cell r="F52">
            <v>43.0991268779809</v>
          </cell>
          <cell r="G52">
            <v>7.3591506165175797</v>
          </cell>
          <cell r="H52">
            <v>9.1044569409523</v>
          </cell>
          <cell r="I52">
            <v>5.2124988889340802</v>
          </cell>
        </row>
        <row r="53">
          <cell r="B53" t="str">
            <v>CO2_R</v>
          </cell>
          <cell r="C53" t="str">
            <v>VAR_comnet</v>
          </cell>
          <cell r="D53" t="str">
            <v>-</v>
          </cell>
          <cell r="E53">
            <v>7120.2518002245797</v>
          </cell>
          <cell r="F53">
            <v>6514.7172139412196</v>
          </cell>
          <cell r="G53">
            <v>6160.1178864514504</v>
          </cell>
          <cell r="H53">
            <v>3984.4898857746298</v>
          </cell>
          <cell r="I53">
            <v>1694.90186114119</v>
          </cell>
          <cell r="J53">
            <v>853.41930975614798</v>
          </cell>
        </row>
        <row r="54">
          <cell r="B54" t="str">
            <v>CO2_S</v>
          </cell>
          <cell r="C54" t="str">
            <v>VAR_fout</v>
          </cell>
          <cell r="D54" t="str">
            <v>SCOM-SHNGAHP</v>
          </cell>
          <cell r="G54">
            <v>60.654586661092601</v>
          </cell>
          <cell r="H54">
            <v>166.53689168268099</v>
          </cell>
          <cell r="I54">
            <v>269.42813860889999</v>
          </cell>
          <cell r="J54">
            <v>256.28351839207699</v>
          </cell>
        </row>
        <row r="55">
          <cell r="B55" t="str">
            <v>CO2_S</v>
          </cell>
          <cell r="C55" t="str">
            <v>VAR_fout</v>
          </cell>
          <cell r="D55" t="str">
            <v>SCOM-CHPNGA</v>
          </cell>
          <cell r="E55">
            <v>93.991452167383997</v>
          </cell>
          <cell r="F55">
            <v>98.073895448634104</v>
          </cell>
          <cell r="G55">
            <v>0.69223088837983304</v>
          </cell>
          <cell r="H55">
            <v>17.5744126580705</v>
          </cell>
          <cell r="I55">
            <v>0.224183637874837</v>
          </cell>
          <cell r="J55">
            <v>3.4822378414647602E-2</v>
          </cell>
        </row>
        <row r="56">
          <cell r="B56" t="str">
            <v>CO2_S</v>
          </cell>
          <cell r="C56" t="str">
            <v>VAR_fout</v>
          </cell>
          <cell r="D56" t="str">
            <v>SCOM-SHNGABR</v>
          </cell>
          <cell r="E56">
            <v>1440.94604931443</v>
          </cell>
          <cell r="F56">
            <v>1508.6876845930201</v>
          </cell>
          <cell r="G56">
            <v>1285.25526175341</v>
          </cell>
          <cell r="H56">
            <v>960.870333009403</v>
          </cell>
          <cell r="I56">
            <v>341.31624757835101</v>
          </cell>
          <cell r="J56">
            <v>118.75115027725499</v>
          </cell>
        </row>
        <row r="57">
          <cell r="B57" t="str">
            <v>CO2_S</v>
          </cell>
          <cell r="C57" t="str">
            <v>VAR_fout</v>
          </cell>
          <cell r="D57" t="str">
            <v>SCOM-CHPGFC</v>
          </cell>
          <cell r="H57">
            <v>2.2951030910480199E-2</v>
          </cell>
          <cell r="I57">
            <v>0.18766349406945601</v>
          </cell>
          <cell r="J57">
            <v>3.3635602738511898E-2</v>
          </cell>
        </row>
        <row r="58">
          <cell r="B58" t="str">
            <v>CO2_S</v>
          </cell>
          <cell r="C58" t="str">
            <v>VAR_fout</v>
          </cell>
          <cell r="D58" t="str">
            <v>SCOM-SHLFOBR</v>
          </cell>
          <cell r="E58">
            <v>2229.9140482292401</v>
          </cell>
          <cell r="F58">
            <v>1996.8288030609799</v>
          </cell>
          <cell r="G58">
            <v>1850.38962285819</v>
          </cell>
          <cell r="H58">
            <v>1118.6008535631699</v>
          </cell>
          <cell r="I58">
            <v>383.51155063741197</v>
          </cell>
          <cell r="J58">
            <v>17.283551538167199</v>
          </cell>
        </row>
        <row r="59">
          <cell r="B59" t="str">
            <v>CO2_S</v>
          </cell>
          <cell r="C59" t="str">
            <v>VAR_comnet</v>
          </cell>
          <cell r="D59" t="str">
            <v>-</v>
          </cell>
          <cell r="E59">
            <v>3764.8515497110602</v>
          </cell>
          <cell r="F59">
            <v>3603.5903831026299</v>
          </cell>
          <cell r="G59">
            <v>3196.99170216107</v>
          </cell>
          <cell r="H59">
            <v>2263.6054419442398</v>
          </cell>
          <cell r="I59">
            <v>994.66778395660697</v>
          </cell>
          <cell r="J59">
            <v>392.38667818865298</v>
          </cell>
        </row>
        <row r="60">
          <cell r="B60" t="str">
            <v>CO2_T</v>
          </cell>
          <cell r="C60" t="str">
            <v>VAR_fout</v>
          </cell>
          <cell r="D60" t="str">
            <v>T_B_u-ICENGAEXT</v>
          </cell>
          <cell r="E60">
            <v>1.7799792237940999E-2</v>
          </cell>
          <cell r="F60">
            <v>1.7888608800211099E-2</v>
          </cell>
          <cell r="G60">
            <v>1.7832403452447299E-2</v>
          </cell>
        </row>
        <row r="61">
          <cell r="B61" t="str">
            <v>CO2_T</v>
          </cell>
          <cell r="C61" t="str">
            <v>VAR_fout</v>
          </cell>
          <cell r="D61" t="str">
            <v>TFHGV-ICENGA</v>
          </cell>
          <cell r="E61">
            <v>3.520263189785692</v>
          </cell>
          <cell r="F61">
            <v>1.4372924401237555</v>
          </cell>
          <cell r="G61">
            <v>1.4137846688769613</v>
          </cell>
          <cell r="H61">
            <v>0.43426560644400691</v>
          </cell>
          <cell r="I61">
            <v>0.37871822653435699</v>
          </cell>
          <cell r="J61">
            <v>1.9795555193797301E-2</v>
          </cell>
        </row>
        <row r="62">
          <cell r="B62" t="str">
            <v>CO2_T</v>
          </cell>
          <cell r="C62" t="str">
            <v>VAR_fout</v>
          </cell>
          <cell r="D62" t="str">
            <v>T-Plg-GSL-mix_S1</v>
          </cell>
          <cell r="E62">
            <v>1.7883349816069601E-2</v>
          </cell>
          <cell r="F62">
            <v>9.2354981443252895E-2</v>
          </cell>
          <cell r="G62">
            <v>0.207514262237114</v>
          </cell>
          <cell r="H62">
            <v>0.31270278490085524</v>
          </cell>
          <cell r="I62">
            <v>0.14882078706076496</v>
          </cell>
          <cell r="J62">
            <v>6.367349203881309E-2</v>
          </cell>
        </row>
        <row r="63">
          <cell r="B63" t="str">
            <v>CO2_T</v>
          </cell>
          <cell r="C63" t="str">
            <v>VAR_fout</v>
          </cell>
          <cell r="D63" t="str">
            <v>T-Plg-GSL-mix_S2</v>
          </cell>
          <cell r="E63">
            <v>3.1648514572689499</v>
          </cell>
          <cell r="F63">
            <v>9.2312157334404787</v>
          </cell>
          <cell r="G63">
            <v>14.467126479111251</v>
          </cell>
          <cell r="H63">
            <v>12.270938803974641</v>
          </cell>
          <cell r="I63">
            <v>1.2322156335526313</v>
          </cell>
          <cell r="J63">
            <v>0.27468989030114449</v>
          </cell>
        </row>
        <row r="64">
          <cell r="B64" t="str">
            <v>CO2_T</v>
          </cell>
          <cell r="C64" t="str">
            <v>VAR_fout</v>
          </cell>
          <cell r="D64" t="str">
            <v>T-Plg-GSL-mix_S3</v>
          </cell>
          <cell r="E64">
            <v>4.5065865727416101</v>
          </cell>
          <cell r="F64">
            <v>105.4831241742115</v>
          </cell>
          <cell r="G64">
            <v>283.78229803292402</v>
          </cell>
          <cell r="H64">
            <v>617.7725413129499</v>
          </cell>
          <cell r="I64">
            <v>674.04170957400265</v>
          </cell>
          <cell r="J64">
            <v>272.06045096435025</v>
          </cell>
        </row>
        <row r="65">
          <cell r="B65" t="str">
            <v>CO2_T</v>
          </cell>
          <cell r="C65" t="str">
            <v>VAR_fout</v>
          </cell>
          <cell r="D65" t="str">
            <v>T-Plg-GSL-mix_S4</v>
          </cell>
          <cell r="E65">
            <v>4.2242170073222098</v>
          </cell>
          <cell r="F65">
            <v>20.519625688191901</v>
          </cell>
          <cell r="G65">
            <v>18.428735699729021</v>
          </cell>
          <cell r="H65">
            <v>14.165708236635542</v>
          </cell>
          <cell r="I65">
            <v>0.99215957322481163</v>
          </cell>
          <cell r="J65">
            <v>0.34415284271515301</v>
          </cell>
        </row>
        <row r="66">
          <cell r="B66" t="str">
            <v>CO2_T</v>
          </cell>
          <cell r="C66" t="str">
            <v>VAR_fout</v>
          </cell>
          <cell r="D66" t="str">
            <v>TFLGV-HYBDSL</v>
          </cell>
          <cell r="F66">
            <v>56.052975637158703</v>
          </cell>
          <cell r="G66">
            <v>168.72215800704259</v>
          </cell>
          <cell r="H66">
            <v>165.3550971973219</v>
          </cell>
          <cell r="I66">
            <v>19.798794430206492</v>
          </cell>
          <cell r="J66">
            <v>1.77227870891567</v>
          </cell>
        </row>
        <row r="67">
          <cell r="B67" t="str">
            <v>CO2_T</v>
          </cell>
          <cell r="C67" t="str">
            <v>VAR_fout</v>
          </cell>
          <cell r="D67" t="str">
            <v>TFLGV-ICEGSLExt</v>
          </cell>
          <cell r="E67">
            <v>61.347087300248397</v>
          </cell>
          <cell r="F67">
            <v>135.75107224798199</v>
          </cell>
          <cell r="G67">
            <v>40.048491308771098</v>
          </cell>
          <cell r="H67">
            <v>19.988666409576101</v>
          </cell>
        </row>
        <row r="68">
          <cell r="B68" t="str">
            <v>CO2_T</v>
          </cell>
          <cell r="C68" t="str">
            <v>VAR_fout</v>
          </cell>
          <cell r="D68" t="str">
            <v>TFLGV-ICEDSLExt</v>
          </cell>
          <cell r="E68">
            <v>844.477537035365</v>
          </cell>
          <cell r="F68">
            <v>545.27016783335796</v>
          </cell>
          <cell r="G68">
            <v>399.65099144440501</v>
          </cell>
          <cell r="H68">
            <v>199.76428909326501</v>
          </cell>
        </row>
        <row r="69">
          <cell r="B69" t="str">
            <v>CO2_T</v>
          </cell>
          <cell r="C69" t="str">
            <v>VAR_fout</v>
          </cell>
          <cell r="D69" t="str">
            <v>T_C-ICE-NGA-S1</v>
          </cell>
          <cell r="E69">
            <v>0.21916792868315779</v>
          </cell>
          <cell r="F69">
            <v>0.1237515040809509</v>
          </cell>
          <cell r="G69">
            <v>0.101676711156455</v>
          </cell>
          <cell r="H69">
            <v>1.0145113995501699E-2</v>
          </cell>
          <cell r="I69">
            <v>3.2915446671446195E-3</v>
          </cell>
          <cell r="J69">
            <v>6.3835648899124601E-4</v>
          </cell>
        </row>
        <row r="70">
          <cell r="B70" t="str">
            <v>CO2_T</v>
          </cell>
          <cell r="C70" t="str">
            <v>VAR_fout</v>
          </cell>
          <cell r="D70" t="str">
            <v>T_C-ICE-NGA-S2</v>
          </cell>
          <cell r="E70">
            <v>3.167870540111775</v>
          </cell>
          <cell r="F70">
            <v>3.269818068662897</v>
          </cell>
          <cell r="G70">
            <v>3.3692440044833027</v>
          </cell>
          <cell r="H70">
            <v>8.9467926204467967E-3</v>
          </cell>
          <cell r="I70">
            <v>6.1644331552024719E-3</v>
          </cell>
          <cell r="J70">
            <v>1.4070855614666099E-3</v>
          </cell>
        </row>
        <row r="71">
          <cell r="B71" t="str">
            <v>CO2_T</v>
          </cell>
          <cell r="C71" t="str">
            <v>VAR_fout</v>
          </cell>
          <cell r="D71" t="str">
            <v>TFLGV-ICEDSL</v>
          </cell>
          <cell r="E71">
            <v>325.83558855766307</v>
          </cell>
          <cell r="F71">
            <v>384.39405772112303</v>
          </cell>
          <cell r="G71">
            <v>362.91730434398727</v>
          </cell>
          <cell r="H71">
            <v>153.21290017676023</v>
          </cell>
          <cell r="I71">
            <v>0.15212845983085221</v>
          </cell>
          <cell r="J71">
            <v>1.96339069106337E-2</v>
          </cell>
        </row>
        <row r="72">
          <cell r="B72" t="str">
            <v>CO2_T</v>
          </cell>
          <cell r="C72" t="str">
            <v>VAR_fout</v>
          </cell>
          <cell r="D72" t="str">
            <v>T_C-ICE-NGA-S3</v>
          </cell>
          <cell r="E72">
            <v>0.26533355324458302</v>
          </cell>
          <cell r="F72">
            <v>0.27580092982044002</v>
          </cell>
          <cell r="G72">
            <v>0.27295472855734909</v>
          </cell>
          <cell r="H72">
            <v>2.9088860726042245E-2</v>
          </cell>
          <cell r="I72">
            <v>7.9799902911946372E-3</v>
          </cell>
          <cell r="J72">
            <v>1.8430692645459699E-3</v>
          </cell>
        </row>
        <row r="73">
          <cell r="B73" t="str">
            <v>CO2_T</v>
          </cell>
          <cell r="C73" t="str">
            <v>VAR_fout</v>
          </cell>
          <cell r="D73" t="str">
            <v>T_C-ICE-NGA-S4</v>
          </cell>
          <cell r="E73">
            <v>2.7353792739683209</v>
          </cell>
          <cell r="F73">
            <v>2.662870272727309</v>
          </cell>
          <cell r="G73">
            <v>2.4769209652469026</v>
          </cell>
          <cell r="H73">
            <v>5.667781443716117E-3</v>
          </cell>
          <cell r="I73">
            <v>7.4678447589848415E-3</v>
          </cell>
          <cell r="J73">
            <v>1.7200040539890301E-3</v>
          </cell>
        </row>
        <row r="74">
          <cell r="B74" t="str">
            <v>CO2_T</v>
          </cell>
          <cell r="C74" t="str">
            <v>VAR_fout</v>
          </cell>
          <cell r="D74" t="str">
            <v>T_C-MHY-GSL-S1</v>
          </cell>
          <cell r="F74">
            <v>2.8123919297548001E-2</v>
          </cell>
          <cell r="G74">
            <v>8.9032694280795993E-2</v>
          </cell>
          <cell r="H74">
            <v>0.1212643278620066</v>
          </cell>
          <cell r="I74">
            <v>6.4013720117655853E-2</v>
          </cell>
          <cell r="J74">
            <v>1.700473418647314E-2</v>
          </cell>
        </row>
        <row r="75">
          <cell r="B75" t="str">
            <v>CO2_T</v>
          </cell>
          <cell r="C75" t="str">
            <v>VAR_fout</v>
          </cell>
          <cell r="D75" t="str">
            <v>T_C-MHY-GSL-S2</v>
          </cell>
          <cell r="F75">
            <v>2.6594682812650299E-2</v>
          </cell>
          <cell r="G75">
            <v>8.0417029223879194E-2</v>
          </cell>
          <cell r="H75">
            <v>0.109026239100801</v>
          </cell>
          <cell r="I75">
            <v>7.1405131470488534E-2</v>
          </cell>
          <cell r="J75">
            <v>2.0959002302874931E-2</v>
          </cell>
        </row>
        <row r="76">
          <cell r="B76" t="str">
            <v>CO2_T</v>
          </cell>
          <cell r="C76" t="str">
            <v>VAR_fout</v>
          </cell>
          <cell r="D76" t="str">
            <v>T_C-MHY-DSL-S1</v>
          </cell>
          <cell r="F76">
            <v>2.0581736760619699E-2</v>
          </cell>
          <cell r="G76">
            <v>6.2117196594996593E-2</v>
          </cell>
          <cell r="H76">
            <v>8.4430263452169002E-2</v>
          </cell>
          <cell r="I76">
            <v>5.1851093908596962E-2</v>
          </cell>
          <cell r="J76">
            <v>1.5228620581637389E-2</v>
          </cell>
        </row>
        <row r="77">
          <cell r="B77" t="str">
            <v>CO2_T</v>
          </cell>
          <cell r="C77" t="str">
            <v>VAR_fout</v>
          </cell>
          <cell r="D77" t="str">
            <v>T_C-MHY-GSL-S3</v>
          </cell>
          <cell r="F77">
            <v>3.59096313052715E-2</v>
          </cell>
          <cell r="G77">
            <v>8.353970949665071E-2</v>
          </cell>
          <cell r="H77">
            <v>0.10806923556483179</v>
          </cell>
          <cell r="I77">
            <v>7.7431885064075001E-2</v>
          </cell>
          <cell r="J77">
            <v>2.2625123048770991E-2</v>
          </cell>
        </row>
        <row r="78">
          <cell r="B78" t="str">
            <v>CO2_T</v>
          </cell>
          <cell r="C78" t="str">
            <v>VAR_fout</v>
          </cell>
          <cell r="D78" t="str">
            <v>T_C-MHY-DSL-S2</v>
          </cell>
          <cell r="F78">
            <v>2.0140098141448601E-2</v>
          </cell>
          <cell r="G78">
            <v>6.14556320140099E-2</v>
          </cell>
          <cell r="H78">
            <v>8.3387074789490895E-2</v>
          </cell>
          <cell r="I78">
            <v>5.7665303501869741E-2</v>
          </cell>
          <cell r="J78">
            <v>1.7535144452172281E-2</v>
          </cell>
        </row>
        <row r="79">
          <cell r="B79" t="str">
            <v>CO2_T</v>
          </cell>
          <cell r="C79" t="str">
            <v>VAR_fout</v>
          </cell>
          <cell r="D79" t="str">
            <v>T_C-MHY-GSL-S4</v>
          </cell>
          <cell r="F79">
            <v>4.72161420512755E-2</v>
          </cell>
          <cell r="G79">
            <v>0.10781786286481129</v>
          </cell>
          <cell r="H79">
            <v>0.13914398476989609</v>
          </cell>
          <cell r="I79">
            <v>0.11364715234911243</v>
          </cell>
          <cell r="J79">
            <v>3.8046874382171962E-2</v>
          </cell>
        </row>
        <row r="80">
          <cell r="B80" t="str">
            <v>CO2_T</v>
          </cell>
          <cell r="C80" t="str">
            <v>VAR_fout</v>
          </cell>
          <cell r="D80" t="str">
            <v>T_C-MHY-DSL-S3</v>
          </cell>
          <cell r="F80">
            <v>2.5414224156604499E-2</v>
          </cell>
          <cell r="G80">
            <v>6.1469541607510197E-2</v>
          </cell>
          <cell r="H80">
            <v>8.0238848580176395E-2</v>
          </cell>
          <cell r="I80">
            <v>6.0798769944377676E-2</v>
          </cell>
          <cell r="J80">
            <v>1.8473978355658352E-2</v>
          </cell>
        </row>
        <row r="81">
          <cell r="B81" t="str">
            <v>CO2_T</v>
          </cell>
          <cell r="C81" t="str">
            <v>VAR_fout</v>
          </cell>
          <cell r="D81" t="str">
            <v>T_B_c-HYBDSL-S1</v>
          </cell>
          <cell r="F81">
            <v>0.16470066304456699</v>
          </cell>
          <cell r="G81">
            <v>0.18890591746061308</v>
          </cell>
          <cell r="I81">
            <v>4.5423265002166599E-4</v>
          </cell>
          <cell r="J81">
            <v>1.7338797284809299E-4</v>
          </cell>
        </row>
        <row r="82">
          <cell r="B82" t="str">
            <v>CO2_T</v>
          </cell>
          <cell r="C82" t="str">
            <v>VAR_fout</v>
          </cell>
          <cell r="D82" t="str">
            <v>T_C-MHY-DSL-S4</v>
          </cell>
          <cell r="F82">
            <v>2.1551402909404799E-2</v>
          </cell>
          <cell r="G82">
            <v>4.9484800113511904E-2</v>
          </cell>
          <cell r="H82">
            <v>6.3632184451562199E-2</v>
          </cell>
          <cell r="I82">
            <v>4.7845591490429287E-2</v>
          </cell>
          <cell r="J82">
            <v>1.500455365211496E-2</v>
          </cell>
        </row>
        <row r="83">
          <cell r="B83" t="str">
            <v>CO2_T</v>
          </cell>
          <cell r="C83" t="str">
            <v>VAR_fout</v>
          </cell>
          <cell r="D83" t="str">
            <v>T_B_c-HYBDSL-S2</v>
          </cell>
          <cell r="F83">
            <v>1.70867605608023E-2</v>
          </cell>
          <cell r="G83">
            <v>3.0358834175313702E-2</v>
          </cell>
          <cell r="I83">
            <v>7.1839255862913805E-4</v>
          </cell>
          <cell r="J83">
            <v>2.6566062634179199E-4</v>
          </cell>
        </row>
        <row r="84">
          <cell r="B84" t="str">
            <v>CO2_T</v>
          </cell>
          <cell r="C84" t="str">
            <v>VAR_fout</v>
          </cell>
          <cell r="D84" t="str">
            <v>T_B_c-HYBDSL-S3</v>
          </cell>
          <cell r="F84">
            <v>1.08602178646739E-2</v>
          </cell>
          <cell r="G84">
            <v>1.8771970527890328E-2</v>
          </cell>
          <cell r="H84">
            <v>6.2281272664822807E-4</v>
          </cell>
          <cell r="I84">
            <v>6.5127474165057101E-5</v>
          </cell>
        </row>
        <row r="85">
          <cell r="B85" t="str">
            <v>CO2_T</v>
          </cell>
          <cell r="C85" t="str">
            <v>VAR_fout</v>
          </cell>
          <cell r="D85" t="str">
            <v>T_B_c-HYBDSL-S4</v>
          </cell>
          <cell r="F85">
            <v>2.4547564882662302E-3</v>
          </cell>
          <cell r="G85">
            <v>4.5800112929791801E-3</v>
          </cell>
        </row>
        <row r="86">
          <cell r="B86" t="str">
            <v>CO2_T</v>
          </cell>
          <cell r="C86" t="str">
            <v>VAR_fout</v>
          </cell>
          <cell r="D86" t="str">
            <v>TFHGV-ICEDSLExt</v>
          </cell>
          <cell r="E86">
            <v>1410.2063514413101</v>
          </cell>
          <cell r="F86">
            <v>1167.2897542179001</v>
          </cell>
          <cell r="G86">
            <v>838.50302953890696</v>
          </cell>
          <cell r="H86">
            <v>356.402304591438</v>
          </cell>
        </row>
        <row r="87">
          <cell r="B87" t="str">
            <v>CO2_T</v>
          </cell>
          <cell r="C87" t="str">
            <v>VAR_fout</v>
          </cell>
          <cell r="D87" t="str">
            <v>TPSHPGSLEXT</v>
          </cell>
          <cell r="E87">
            <v>129.873812963153</v>
          </cell>
          <cell r="F87">
            <v>129.87282541001699</v>
          </cell>
          <cell r="G87">
            <v>7.8438611822811699E-3</v>
          </cell>
          <cell r="H87">
            <v>4.6533919638530397E-3</v>
          </cell>
          <cell r="I87">
            <v>1.02053657229198E-2</v>
          </cell>
        </row>
        <row r="88">
          <cell r="B88" t="str">
            <v>CO2_T</v>
          </cell>
          <cell r="C88" t="str">
            <v>VAR_fout</v>
          </cell>
          <cell r="D88" t="str">
            <v>T_TW-ICEGSL-S1</v>
          </cell>
          <cell r="E88">
            <v>0.54000243581616836</v>
          </cell>
          <cell r="F88">
            <v>1.1924786871402595</v>
          </cell>
          <cell r="G88">
            <v>14.131169997672323</v>
          </cell>
          <cell r="H88">
            <v>36.024784291311221</v>
          </cell>
          <cell r="I88">
            <v>68.131649092584965</v>
          </cell>
          <cell r="J88">
            <v>16.126130416849787</v>
          </cell>
        </row>
        <row r="89">
          <cell r="B89" t="str">
            <v>CO2_T</v>
          </cell>
          <cell r="C89" t="str">
            <v>VAR_fout</v>
          </cell>
          <cell r="D89" t="str">
            <v>TPSHPDSLEXT</v>
          </cell>
          <cell r="E89">
            <v>1273.9831592043399</v>
          </cell>
          <cell r="F89">
            <v>1209.1396495889401</v>
          </cell>
          <cell r="G89">
            <v>889.33068238760904</v>
          </cell>
          <cell r="H89">
            <v>372.07668881594498</v>
          </cell>
          <cell r="I89">
            <v>1197.9438575843301</v>
          </cell>
          <cell r="J89">
            <v>1197.92187727193</v>
          </cell>
        </row>
        <row r="90">
          <cell r="B90" t="str">
            <v>CO2_T</v>
          </cell>
          <cell r="C90" t="str">
            <v>VAR_fout</v>
          </cell>
          <cell r="D90" t="str">
            <v>T_TW-ICEGSL-S2</v>
          </cell>
          <cell r="E90">
            <v>1.6338487723941209</v>
          </cell>
          <cell r="F90">
            <v>5.9901795619056717</v>
          </cell>
          <cell r="G90">
            <v>5.3779086118822326</v>
          </cell>
          <cell r="H90">
            <v>4.3204232156616458</v>
          </cell>
          <cell r="I90">
            <v>3.7160263640569791E-2</v>
          </cell>
          <cell r="J90">
            <v>1.7371785903462979E-2</v>
          </cell>
        </row>
        <row r="91">
          <cell r="B91" t="str">
            <v>CO2_T</v>
          </cell>
          <cell r="C91" t="str">
            <v>VAR_fout</v>
          </cell>
          <cell r="D91" t="str">
            <v>T_TW-ICEGSL-S3</v>
          </cell>
          <cell r="E91">
            <v>3.3300293304345425</v>
          </cell>
          <cell r="F91">
            <v>1.0277918718834569</v>
          </cell>
          <cell r="G91">
            <v>1.0469295508769916</v>
          </cell>
          <cell r="H91">
            <v>1.0276212869320873</v>
          </cell>
          <cell r="I91">
            <v>0.53121483507127976</v>
          </cell>
          <cell r="J91">
            <v>1.8107576347334967E-2</v>
          </cell>
        </row>
        <row r="92">
          <cell r="B92" t="str">
            <v>CO2_T</v>
          </cell>
          <cell r="C92" t="str">
            <v>VAR_fout</v>
          </cell>
          <cell r="D92" t="str">
            <v>T_C-ICEGSLEXT</v>
          </cell>
          <cell r="E92">
            <v>4722.2883360527503</v>
          </cell>
          <cell r="F92">
            <v>4775.0809679785398</v>
          </cell>
          <cell r="G92">
            <v>4004.0672856953001</v>
          </cell>
          <cell r="H92">
            <v>1629.9616771685401</v>
          </cell>
        </row>
        <row r="93">
          <cell r="B93" t="str">
            <v>CO2_T</v>
          </cell>
          <cell r="C93" t="str">
            <v>VAR_fout</v>
          </cell>
          <cell r="D93" t="str">
            <v>T_TW-ICEGSL-S4</v>
          </cell>
          <cell r="E93">
            <v>1.9885760542478634</v>
          </cell>
          <cell r="F93">
            <v>0.75275390919366192</v>
          </cell>
          <cell r="G93">
            <v>0.77521015741623345</v>
          </cell>
          <cell r="H93">
            <v>0.75278667360569962</v>
          </cell>
          <cell r="I93">
            <v>0.76452147412860061</v>
          </cell>
          <cell r="J93">
            <v>4.6331916851916663E-2</v>
          </cell>
        </row>
        <row r="94">
          <cell r="B94" t="str">
            <v>CO2_T</v>
          </cell>
          <cell r="C94" t="str">
            <v>VAR_fout</v>
          </cell>
          <cell r="D94" t="str">
            <v>T_C-ICEDSLEXT</v>
          </cell>
          <cell r="E94">
            <v>4299.9536480114402</v>
          </cell>
          <cell r="F94">
            <v>3569.7765341470399</v>
          </cell>
          <cell r="G94">
            <v>1796.12290037046</v>
          </cell>
          <cell r="H94">
            <v>559.03541015970904</v>
          </cell>
        </row>
        <row r="95">
          <cell r="B95" t="str">
            <v>CO2_T</v>
          </cell>
          <cell r="C95" t="str">
            <v>VAR_fout</v>
          </cell>
          <cell r="D95" t="str">
            <v>T_TW-ICEGSLEXT</v>
          </cell>
          <cell r="E95">
            <v>110.74448103170501</v>
          </cell>
          <cell r="F95">
            <v>103.560370105684</v>
          </cell>
          <cell r="G95">
            <v>70.249240134883706</v>
          </cell>
          <cell r="H95">
            <v>33.436046331557698</v>
          </cell>
        </row>
        <row r="96">
          <cell r="B96" t="str">
            <v>CO2_T</v>
          </cell>
          <cell r="C96" t="str">
            <v>VAR_fout</v>
          </cell>
          <cell r="D96" t="str">
            <v>TFLGV-ICENGA</v>
          </cell>
          <cell r="E96">
            <v>1.4284388740479401</v>
          </cell>
          <cell r="F96">
            <v>1.383459712373964</v>
          </cell>
          <cell r="G96">
            <v>1.7655284576545043</v>
          </cell>
          <cell r="H96">
            <v>6.9520141204789396E-3</v>
          </cell>
          <cell r="I96">
            <v>5.0926322747325012E-3</v>
          </cell>
          <cell r="J96">
            <v>7.4605214770874799E-4</v>
          </cell>
        </row>
        <row r="97">
          <cell r="B97" t="str">
            <v>CO2_T</v>
          </cell>
          <cell r="C97" t="str">
            <v>VAR_fout</v>
          </cell>
          <cell r="D97" t="str">
            <v>T_B_c-ICENGA-S1</v>
          </cell>
          <cell r="F97">
            <v>8.3871662968977106E-2</v>
          </cell>
          <cell r="G97">
            <v>0.11415488224414611</v>
          </cell>
          <cell r="I97">
            <v>2.1989239416493199E-4</v>
          </cell>
          <cell r="J97">
            <v>1.5917097149745802E-5</v>
          </cell>
        </row>
        <row r="98">
          <cell r="B98" t="str">
            <v>CO2_T</v>
          </cell>
          <cell r="C98" t="str">
            <v>VAR_fout</v>
          </cell>
          <cell r="D98" t="str">
            <v>T_B_c-ICENGA-S2</v>
          </cell>
          <cell r="F98">
            <v>1.35038309264034E-2</v>
          </cell>
          <cell r="G98">
            <v>3.3920491496621803E-2</v>
          </cell>
          <cell r="I98">
            <v>3.5928742989584003E-4</v>
          </cell>
          <cell r="J98">
            <v>7.4640495466632E-5</v>
          </cell>
        </row>
        <row r="99">
          <cell r="B99" t="str">
            <v>CO2_T</v>
          </cell>
          <cell r="C99" t="str">
            <v>VAR_fout</v>
          </cell>
          <cell r="D99" t="str">
            <v>T_B_u-ICEDSL-S1</v>
          </cell>
          <cell r="E99">
            <v>2.0099801960942489E-2</v>
          </cell>
          <cell r="F99">
            <v>13.380779149158087</v>
          </cell>
          <cell r="G99">
            <v>27.899455897052466</v>
          </cell>
          <cell r="H99">
            <v>3.0637898868425598E-3</v>
          </cell>
          <cell r="I99">
            <v>1.3190868253223001E-4</v>
          </cell>
        </row>
        <row r="100">
          <cell r="B100" t="str">
            <v>CO2_T</v>
          </cell>
          <cell r="C100" t="str">
            <v>VAR_fout</v>
          </cell>
          <cell r="D100" t="str">
            <v>T_B_c-ICENGA-S3</v>
          </cell>
          <cell r="F100">
            <v>1.0522901524615999E-2</v>
          </cell>
          <cell r="G100">
            <v>2.3788737579502301E-2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T_B_u-ICEDSL-S2</v>
          </cell>
          <cell r="E101">
            <v>8.0224471473799301</v>
          </cell>
          <cell r="F101">
            <v>9.9767009439042464</v>
          </cell>
          <cell r="G101">
            <v>17.099990509651839</v>
          </cell>
        </row>
        <row r="102">
          <cell r="B102" t="str">
            <v>CO2_T</v>
          </cell>
          <cell r="C102" t="str">
            <v>VAR_fout</v>
          </cell>
          <cell r="D102" t="str">
            <v>T_B_c-ICENGA-S4</v>
          </cell>
          <cell r="F102">
            <v>1.80437926410512E-3</v>
          </cell>
          <cell r="G102">
            <v>4.6052406869401402E-3</v>
          </cell>
        </row>
        <row r="103">
          <cell r="B103" t="str">
            <v>CO2_T</v>
          </cell>
          <cell r="C103" t="str">
            <v>VAR_fout</v>
          </cell>
          <cell r="D103" t="str">
            <v>T_B_u-ICEDSL-S3</v>
          </cell>
          <cell r="E103">
            <v>46.576547345190541</v>
          </cell>
          <cell r="F103">
            <v>68.068266438023841</v>
          </cell>
          <cell r="G103">
            <v>116.69912161630715</v>
          </cell>
          <cell r="I103">
            <v>3.5395569927159498E-4</v>
          </cell>
        </row>
        <row r="104">
          <cell r="B104" t="str">
            <v>CO2_T</v>
          </cell>
          <cell r="C104" t="str">
            <v>VAR_fout</v>
          </cell>
          <cell r="D104" t="str">
            <v>T_B_u-ICEDSL-S4</v>
          </cell>
          <cell r="E104">
            <v>0.29422612163720641</v>
          </cell>
          <cell r="F104">
            <v>1.9570377489368861E-2</v>
          </cell>
          <cell r="G104">
            <v>2.6201843278051459E-2</v>
          </cell>
          <cell r="I104">
            <v>4.4853151790060863E-4</v>
          </cell>
        </row>
        <row r="105">
          <cell r="B105" t="str">
            <v>CO2_T</v>
          </cell>
          <cell r="C105" t="str">
            <v>VAR_fout</v>
          </cell>
          <cell r="D105" t="str">
            <v>T_B_c-ICENGAEXT</v>
          </cell>
          <cell r="E105">
            <v>7.7929979240301001E-3</v>
          </cell>
          <cell r="F105">
            <v>7.7923683730454002E-3</v>
          </cell>
          <cell r="G105">
            <v>7.7189301873237396E-3</v>
          </cell>
        </row>
        <row r="106">
          <cell r="B106" t="str">
            <v>CO2_T</v>
          </cell>
          <cell r="C106" t="str">
            <v>VAR_fout</v>
          </cell>
          <cell r="D106" t="str">
            <v>T_B_u-ICEDSLEXT</v>
          </cell>
          <cell r="E106">
            <v>1.2708925633190999</v>
          </cell>
          <cell r="F106">
            <v>1.2694141841122299</v>
          </cell>
          <cell r="G106">
            <v>1.26435684390796</v>
          </cell>
        </row>
        <row r="107">
          <cell r="B107" t="str">
            <v>CO2_T</v>
          </cell>
          <cell r="C107" t="str">
            <v>VAR_fout</v>
          </cell>
          <cell r="D107" t="str">
            <v>T_C-HYBGSLEXT</v>
          </cell>
          <cell r="E107">
            <v>92.549156392336101</v>
          </cell>
          <cell r="F107">
            <v>91.724550449627401</v>
          </cell>
          <cell r="G107">
            <v>68.277748840951404</v>
          </cell>
          <cell r="H107">
            <v>32.395499138000098</v>
          </cell>
        </row>
        <row r="108">
          <cell r="B108" t="str">
            <v>CO2_T</v>
          </cell>
          <cell r="C108" t="str">
            <v>VAR_fout</v>
          </cell>
          <cell r="D108" t="str">
            <v>TPAVDKEREXT</v>
          </cell>
          <cell r="E108">
            <v>79.576349423418094</v>
          </cell>
          <cell r="F108">
            <v>100.796237247683</v>
          </cell>
          <cell r="G108">
            <v>132.626068984081</v>
          </cell>
          <cell r="H108">
            <v>185.675788544743</v>
          </cell>
          <cell r="I108">
            <v>154.38211110512901</v>
          </cell>
          <cell r="J108">
            <v>123.088433665514</v>
          </cell>
        </row>
        <row r="109">
          <cell r="B109" t="str">
            <v>CO2_T</v>
          </cell>
          <cell r="C109" t="str">
            <v>VAR_fout</v>
          </cell>
          <cell r="D109" t="str">
            <v>T_C-ICE-GSL-S1</v>
          </cell>
          <cell r="E109">
            <v>8.374215418150591</v>
          </cell>
          <cell r="F109">
            <v>15.538354030321083</v>
          </cell>
          <cell r="G109">
            <v>10.737924631489395</v>
          </cell>
          <cell r="H109">
            <v>8.2987357760527765</v>
          </cell>
          <cell r="I109">
            <v>0.14230966295363029</v>
          </cell>
          <cell r="J109">
            <v>2.65942129464895E-2</v>
          </cell>
        </row>
        <row r="110">
          <cell r="B110" t="str">
            <v>CO2_T</v>
          </cell>
          <cell r="C110" t="str">
            <v>VAR_fout</v>
          </cell>
          <cell r="D110" t="str">
            <v>TFLGV-ICEGSL</v>
          </cell>
          <cell r="E110">
            <v>3.7172609651839581</v>
          </cell>
          <cell r="F110">
            <v>10.512816866827693</v>
          </cell>
          <cell r="G110">
            <v>32.50250563946463</v>
          </cell>
          <cell r="H110">
            <v>74.278247858053675</v>
          </cell>
          <cell r="I110">
            <v>69.116151536901086</v>
          </cell>
          <cell r="J110">
            <v>10.709938115255699</v>
          </cell>
        </row>
        <row r="111">
          <cell r="B111" t="str">
            <v>CO2_T</v>
          </cell>
          <cell r="C111" t="str">
            <v>VAR_fout</v>
          </cell>
          <cell r="D111" t="str">
            <v>T_C-ICE-GSL-S2</v>
          </cell>
          <cell r="E111">
            <v>103.07058177128084</v>
          </cell>
          <cell r="F111">
            <v>183.58041596742507</v>
          </cell>
          <cell r="G111">
            <v>178.21770348459194</v>
          </cell>
          <cell r="H111">
            <v>145.17098916268793</v>
          </cell>
          <cell r="I111">
            <v>0.11219669219999107</v>
          </cell>
          <cell r="J111">
            <v>2.2027846355303801E-2</v>
          </cell>
        </row>
        <row r="112">
          <cell r="B112" t="str">
            <v>CO2_T</v>
          </cell>
          <cell r="C112" t="str">
            <v>VAR_fout</v>
          </cell>
          <cell r="D112" t="str">
            <v>T_C-ICE-DSL-S1</v>
          </cell>
          <cell r="E112">
            <v>0.40558483747096569</v>
          </cell>
          <cell r="F112">
            <v>0.42801254842614989</v>
          </cell>
          <cell r="G112">
            <v>0.34706367203024596</v>
          </cell>
          <cell r="H112">
            <v>0.26638387647529682</v>
          </cell>
          <cell r="I112">
            <v>2.7021623696168222E-2</v>
          </cell>
          <cell r="J112">
            <v>4.8589475347709798E-3</v>
          </cell>
        </row>
        <row r="113">
          <cell r="B113" t="str">
            <v>CO2_T</v>
          </cell>
          <cell r="C113" t="str">
            <v>VAR_fout</v>
          </cell>
          <cell r="D113" t="str">
            <v>T_C-ICE-GSL-S3</v>
          </cell>
          <cell r="E113">
            <v>51.405900279812691</v>
          </cell>
          <cell r="F113">
            <v>117.87794213103656</v>
          </cell>
          <cell r="G113">
            <v>111.39790554784911</v>
          </cell>
          <cell r="H113">
            <v>90.933589237429175</v>
          </cell>
          <cell r="I113">
            <v>0.12490130566311514</v>
          </cell>
          <cell r="J113">
            <v>2.33647005045667E-2</v>
          </cell>
        </row>
        <row r="114">
          <cell r="B114" t="str">
            <v>CO2_T</v>
          </cell>
          <cell r="C114" t="str">
            <v>VAR_fout</v>
          </cell>
          <cell r="D114" t="str">
            <v>T_C-ICE-DSL-S2</v>
          </cell>
          <cell r="E114">
            <v>89.583082570304896</v>
          </cell>
          <cell r="F114">
            <v>94.0435281280499</v>
          </cell>
          <cell r="G114">
            <v>81.507673300607891</v>
          </cell>
          <cell r="H114">
            <v>60.862267997152763</v>
          </cell>
          <cell r="I114">
            <v>3.1050355292929981E-2</v>
          </cell>
          <cell r="J114">
            <v>6.0326261036006404E-3</v>
          </cell>
        </row>
        <row r="115">
          <cell r="B115" t="str">
            <v>CO2_T</v>
          </cell>
          <cell r="C115" t="str">
            <v>VAR_fout</v>
          </cell>
          <cell r="D115" t="str">
            <v>T_C-ICE-GSL-S4</v>
          </cell>
          <cell r="E115">
            <v>36.514277205166167</v>
          </cell>
          <cell r="F115">
            <v>100.25562885923563</v>
          </cell>
          <cell r="G115">
            <v>93.946869822043126</v>
          </cell>
          <cell r="H115">
            <v>74.118312074827188</v>
          </cell>
          <cell r="I115">
            <v>2.0925134692879239</v>
          </cell>
          <cell r="J115">
            <v>0.42923025944413001</v>
          </cell>
        </row>
        <row r="116">
          <cell r="B116" t="str">
            <v>CO2_T</v>
          </cell>
          <cell r="C116" t="str">
            <v>VAR_fout</v>
          </cell>
          <cell r="D116" t="str">
            <v>T_C-ICE-DSL-S3</v>
          </cell>
          <cell r="E116">
            <v>370.10624157924366</v>
          </cell>
          <cell r="F116">
            <v>390.453395383692</v>
          </cell>
          <cell r="G116">
            <v>386.67574464318278</v>
          </cell>
          <cell r="H116">
            <v>295.32872358486827</v>
          </cell>
          <cell r="I116">
            <v>3.096434166585077E-2</v>
          </cell>
          <cell r="J116">
            <v>6.0872069631217E-3</v>
          </cell>
        </row>
        <row r="117">
          <cell r="B117" t="str">
            <v>CO2_T</v>
          </cell>
          <cell r="C117" t="str">
            <v>VAR_fout</v>
          </cell>
          <cell r="D117" t="str">
            <v>T_C-ICE-DSL-S4</v>
          </cell>
          <cell r="E117">
            <v>142.35644669138293</v>
          </cell>
          <cell r="F117">
            <v>162.04022394617289</v>
          </cell>
          <cell r="G117">
            <v>159.10061391582076</v>
          </cell>
          <cell r="H117">
            <v>121.83978141580458</v>
          </cell>
          <cell r="I117">
            <v>2.6393250863605527E-2</v>
          </cell>
          <cell r="J117">
            <v>5.2374977567914201E-3</v>
          </cell>
        </row>
        <row r="118">
          <cell r="B118" t="str">
            <v>CO2_T</v>
          </cell>
          <cell r="C118" t="str">
            <v>VAR_fout</v>
          </cell>
          <cell r="D118" t="str">
            <v>TFLGV-ICENGAExt</v>
          </cell>
          <cell r="E118">
            <v>6.0452752029888801</v>
          </cell>
          <cell r="F118">
            <v>1.83896142525243</v>
          </cell>
          <cell r="G118">
            <v>3.9419450515042498</v>
          </cell>
          <cell r="H118">
            <v>9.962207690018311E-4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T_B_u-HYBDSL-S1</v>
          </cell>
          <cell r="F119">
            <v>5.0593836117728097</v>
          </cell>
          <cell r="G119">
            <v>5.0910842736325517</v>
          </cell>
          <cell r="I119">
            <v>1.1278955519837001E-4</v>
          </cell>
        </row>
        <row r="120">
          <cell r="B120" t="str">
            <v>CO2_T</v>
          </cell>
          <cell r="C120" t="str">
            <v>VAR_fout</v>
          </cell>
          <cell r="D120" t="str">
            <v>T_B_u-HYBDSL-S2</v>
          </cell>
          <cell r="F120">
            <v>4.3403586988837499E-2</v>
          </cell>
          <cell r="G120">
            <v>6.2652650029635493E-2</v>
          </cell>
          <cell r="I120">
            <v>1.9632406297220601E-4</v>
          </cell>
        </row>
        <row r="121">
          <cell r="B121" t="str">
            <v>CO2_T</v>
          </cell>
          <cell r="C121" t="str">
            <v>VAR_fout</v>
          </cell>
          <cell r="D121" t="str">
            <v>T_B_u-HYBDSL-S3</v>
          </cell>
          <cell r="F121">
            <v>5.5749844395428801E-2</v>
          </cell>
          <cell r="G121">
            <v>7.6675116088558204E-2</v>
          </cell>
          <cell r="I121">
            <v>1.9296809598688481E-3</v>
          </cell>
          <cell r="J121">
            <v>1.9248826116855799E-4</v>
          </cell>
        </row>
        <row r="122">
          <cell r="B122" t="str">
            <v>CO2_T</v>
          </cell>
          <cell r="C122" t="str">
            <v>VAR_fout</v>
          </cell>
          <cell r="D122" t="str">
            <v>T_C-HY-GSL-S1</v>
          </cell>
          <cell r="E122">
            <v>1.6537941040188135</v>
          </cell>
          <cell r="F122">
            <v>2.6550855100375488</v>
          </cell>
          <cell r="G122">
            <v>1.9030592520211826</v>
          </cell>
          <cell r="H122">
            <v>1.691341607385187</v>
          </cell>
          <cell r="I122">
            <v>0.238053380758035</v>
          </cell>
          <cell r="J122">
            <v>6.6539013348410808E-2</v>
          </cell>
        </row>
        <row r="123">
          <cell r="B123" t="str">
            <v>CO2_T</v>
          </cell>
          <cell r="C123" t="str">
            <v>VAR_fout</v>
          </cell>
          <cell r="D123" t="str">
            <v>T_B_u-HYBDSL-S4</v>
          </cell>
          <cell r="F123">
            <v>1.4115505675475601E-3</v>
          </cell>
          <cell r="G123">
            <v>2.9249258953640703E-3</v>
          </cell>
          <cell r="I123">
            <v>5.66452333791394E-4</v>
          </cell>
        </row>
        <row r="124">
          <cell r="B124" t="str">
            <v>CO2_T</v>
          </cell>
          <cell r="C124" t="str">
            <v>VAR_fout</v>
          </cell>
          <cell r="D124" t="str">
            <v>TFRLFDSLEXT</v>
          </cell>
          <cell r="E124">
            <v>29.033376405840698</v>
          </cell>
          <cell r="F124">
            <v>20.643922531034001</v>
          </cell>
          <cell r="G124">
            <v>6.1079000857669999E-2</v>
          </cell>
          <cell r="H124">
            <v>6.4208021101135604E-3</v>
          </cell>
          <cell r="I124">
            <v>7.4711607654663198E-3</v>
          </cell>
        </row>
        <row r="125">
          <cell r="B125" t="str">
            <v>CO2_T</v>
          </cell>
          <cell r="C125" t="str">
            <v>VAR_fout</v>
          </cell>
          <cell r="D125" t="str">
            <v>T_C-HY-GSL-S2</v>
          </cell>
          <cell r="E125">
            <v>7.2309217288885481</v>
          </cell>
          <cell r="F125">
            <v>11.541062849499689</v>
          </cell>
          <cell r="G125">
            <v>11.168322613114391</v>
          </cell>
          <cell r="H125">
            <v>9.3173864285314796</v>
          </cell>
          <cell r="I125">
            <v>0.13070907358482328</v>
          </cell>
          <cell r="J125">
            <v>3.2864923731364799E-2</v>
          </cell>
        </row>
        <row r="126">
          <cell r="B126" t="str">
            <v>CO2_T</v>
          </cell>
          <cell r="C126" t="str">
            <v>VAR_fout</v>
          </cell>
          <cell r="D126" t="str">
            <v>TPSHPNGAEXT</v>
          </cell>
          <cell r="F126">
            <v>2.7959624891024101E-2</v>
          </cell>
          <cell r="G126">
            <v>2.03541899454207</v>
          </cell>
          <cell r="H126">
            <v>2.0352744464922701</v>
          </cell>
          <cell r="I126">
            <v>5.4758962025288497E-3</v>
          </cell>
          <cell r="J126">
            <v>9.7334033225228195E-4</v>
          </cell>
        </row>
        <row r="127">
          <cell r="B127" t="str">
            <v>CO2_T</v>
          </cell>
          <cell r="C127" t="str">
            <v>VAR_fout</v>
          </cell>
          <cell r="D127" t="str">
            <v>T_C-HY-DSL-S1</v>
          </cell>
          <cell r="E127">
            <v>2.50556575786837E-3</v>
          </cell>
          <cell r="F127">
            <v>4.451004802127962E-2</v>
          </cell>
          <cell r="G127">
            <v>0.24650918896449817</v>
          </cell>
          <cell r="H127">
            <v>0.23925984249070317</v>
          </cell>
          <cell r="I127">
            <v>0.10028096849678161</v>
          </cell>
          <cell r="J127">
            <v>2.8623812122515101E-2</v>
          </cell>
        </row>
        <row r="128">
          <cell r="B128" t="str">
            <v>CO2_T</v>
          </cell>
          <cell r="C128" t="str">
            <v>VAR_fout</v>
          </cell>
          <cell r="D128" t="str">
            <v>T_C-HY-GSL-S3</v>
          </cell>
          <cell r="E128">
            <v>5.6451625937089531</v>
          </cell>
          <cell r="F128">
            <v>112.21372237730455</v>
          </cell>
          <cell r="G128">
            <v>105.91792617372239</v>
          </cell>
          <cell r="H128">
            <v>85.309936272201696</v>
          </cell>
          <cell r="I128">
            <v>6.4417231969808725E-2</v>
          </cell>
          <cell r="J128">
            <v>1.7891336819321639E-2</v>
          </cell>
        </row>
        <row r="129">
          <cell r="B129" t="str">
            <v>CO2_T</v>
          </cell>
          <cell r="C129" t="str">
            <v>VAR_fout</v>
          </cell>
          <cell r="D129" t="str">
            <v>T_C-HY-DSL-S2</v>
          </cell>
          <cell r="E129">
            <v>0.21322174864827942</v>
          </cell>
          <cell r="F129">
            <v>64.563480420096653</v>
          </cell>
          <cell r="G129">
            <v>67.805477377321893</v>
          </cell>
          <cell r="H129">
            <v>54.991039712559747</v>
          </cell>
          <cell r="I129">
            <v>0.5005615570244859</v>
          </cell>
          <cell r="J129">
            <v>3.1034017962583503E-2</v>
          </cell>
        </row>
        <row r="130">
          <cell r="B130" t="str">
            <v>CO2_T</v>
          </cell>
          <cell r="C130" t="str">
            <v>VAR_fout</v>
          </cell>
          <cell r="D130" t="str">
            <v>T_C-HY-GSL-S4</v>
          </cell>
          <cell r="E130">
            <v>4.2990663905660407</v>
          </cell>
          <cell r="F130">
            <v>9.3140564468008407</v>
          </cell>
          <cell r="G130">
            <v>8.929031911969938</v>
          </cell>
          <cell r="H130">
            <v>7.6197360112074941</v>
          </cell>
          <cell r="I130">
            <v>7.7452788411725287E-2</v>
          </cell>
          <cell r="J130">
            <v>2.210704321584956E-2</v>
          </cell>
        </row>
        <row r="131">
          <cell r="B131" t="str">
            <v>CO2_T</v>
          </cell>
          <cell r="C131" t="str">
            <v>VAR_fout</v>
          </cell>
          <cell r="D131" t="str">
            <v>T_C-HY-DSL-S3</v>
          </cell>
          <cell r="E131">
            <v>2.2199158712498495</v>
          </cell>
          <cell r="F131">
            <v>3.3715333016261875</v>
          </cell>
          <cell r="G131">
            <v>3.2392028660297636</v>
          </cell>
          <cell r="H131">
            <v>2.4421704762799026</v>
          </cell>
          <cell r="I131">
            <v>4.7975889748591918E-2</v>
          </cell>
          <cell r="J131">
            <v>1.781361506937763E-2</v>
          </cell>
        </row>
        <row r="132">
          <cell r="B132" t="str">
            <v>CO2_T</v>
          </cell>
          <cell r="C132" t="str">
            <v>VAR_fout</v>
          </cell>
          <cell r="D132" t="str">
            <v>T_C-HY-DSL-S4</v>
          </cell>
          <cell r="E132">
            <v>2.6134774205732878</v>
          </cell>
          <cell r="F132">
            <v>22.04891899055615</v>
          </cell>
          <cell r="G132">
            <v>20.831513235270876</v>
          </cell>
          <cell r="H132">
            <v>16.825774933450674</v>
          </cell>
          <cell r="I132">
            <v>5.7924434249607179E-2</v>
          </cell>
          <cell r="J132">
            <v>2.3029816147454189E-2</v>
          </cell>
        </row>
        <row r="133">
          <cell r="B133" t="str">
            <v>CO2_T</v>
          </cell>
          <cell r="C133" t="str">
            <v>VAR_fout</v>
          </cell>
          <cell r="D133" t="str">
            <v>TFHGV-HYBDSL</v>
          </cell>
          <cell r="F133">
            <v>103.361062259695</v>
          </cell>
          <cell r="G133">
            <v>318.195444501336</v>
          </cell>
          <cell r="H133">
            <v>819.04037873456525</v>
          </cell>
          <cell r="I133">
            <v>757.30133071213004</v>
          </cell>
          <cell r="J133">
            <v>34.883331111447603</v>
          </cell>
        </row>
        <row r="134">
          <cell r="B134" t="str">
            <v>CO2_T</v>
          </cell>
          <cell r="C134" t="str">
            <v>VAR_fout</v>
          </cell>
          <cell r="D134" t="str">
            <v>TFHGV-ICEDSL</v>
          </cell>
          <cell r="E134">
            <v>382.17787727057384</v>
          </cell>
          <cell r="F134">
            <v>401.88806259797263</v>
          </cell>
          <cell r="G134">
            <v>335.17414686216716</v>
          </cell>
          <cell r="H134">
            <v>32.260227916942107</v>
          </cell>
          <cell r="I134">
            <v>0.10428496905047571</v>
          </cell>
          <cell r="J134">
            <v>9.3806839460174908E-3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T-Plg-DSL-mix_S1</v>
          </cell>
          <cell r="E135">
            <v>1.3673171523056701E-3</v>
          </cell>
          <cell r="F135">
            <v>5.6269394521305999E-2</v>
          </cell>
          <cell r="G135">
            <v>0.1849386907962034</v>
          </cell>
          <cell r="H135">
            <v>0.30306342517674378</v>
          </cell>
          <cell r="I135">
            <v>0.1489813666798469</v>
          </cell>
          <cell r="J135">
            <v>6.2452728800115306E-2</v>
          </cell>
        </row>
        <row r="136">
          <cell r="B136" t="str">
            <v>CO2_T</v>
          </cell>
          <cell r="C136" t="str">
            <v>VAR_fout</v>
          </cell>
          <cell r="D136" t="str">
            <v>T-Plg-DSL-mix_S2</v>
          </cell>
          <cell r="E136">
            <v>7.8506111695928003E-4</v>
          </cell>
          <cell r="F136">
            <v>5.5900789141542298E-2</v>
          </cell>
          <cell r="G136">
            <v>116.57496469777109</v>
          </cell>
          <cell r="H136">
            <v>85.320958435831699</v>
          </cell>
          <cell r="I136">
            <v>5.8375137320153039</v>
          </cell>
          <cell r="J136">
            <v>0.25236927937215742</v>
          </cell>
        </row>
        <row r="137">
          <cell r="B137" t="str">
            <v>CO2_T</v>
          </cell>
          <cell r="C137" t="str">
            <v>VAR_fout</v>
          </cell>
          <cell r="D137" t="str">
            <v>T-Plg-DSL-mix_S3</v>
          </cell>
          <cell r="E137">
            <v>8.4498037122033194E-3</v>
          </cell>
          <cell r="F137">
            <v>0.1987045357501023</v>
          </cell>
          <cell r="G137">
            <v>109.60291285551064</v>
          </cell>
          <cell r="H137">
            <v>349.46982262454503</v>
          </cell>
          <cell r="I137">
            <v>471.45768460682837</v>
          </cell>
          <cell r="J137">
            <v>185.90266609982788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T_B_c-ICEDSL-S1</v>
          </cell>
          <cell r="E138">
            <v>8.3086270388468204</v>
          </cell>
          <cell r="F138">
            <v>22.50142273895295</v>
          </cell>
          <cell r="G138">
            <v>27.38123500826763</v>
          </cell>
          <cell r="I138">
            <v>7.3878033002719098E-4</v>
          </cell>
          <cell r="J138">
            <v>2.64095814542852E-4</v>
          </cell>
        </row>
        <row r="139">
          <cell r="B139" t="str">
            <v>CO2_T</v>
          </cell>
          <cell r="C139" t="str">
            <v>VAR_fout</v>
          </cell>
          <cell r="D139" t="str">
            <v>T-Plg-DSL-mix_S4</v>
          </cell>
          <cell r="E139">
            <v>0.45756953367832698</v>
          </cell>
          <cell r="F139">
            <v>1.3199498882485021</v>
          </cell>
          <cell r="G139">
            <v>2.6996196236605159</v>
          </cell>
          <cell r="H139">
            <v>5.6222090089123515</v>
          </cell>
          <cell r="I139">
            <v>1.3053358520149958</v>
          </cell>
          <cell r="J139">
            <v>0.29980587332767261</v>
          </cell>
        </row>
        <row r="140">
          <cell r="B140" t="str">
            <v>CO2_T</v>
          </cell>
          <cell r="C140" t="str">
            <v>VAR_fout</v>
          </cell>
          <cell r="D140" t="str">
            <v>T_B_c-ICEDSL-S2</v>
          </cell>
          <cell r="E140">
            <v>38.069228209655101</v>
          </cell>
          <cell r="F140">
            <v>29.287806389399098</v>
          </cell>
          <cell r="G140">
            <v>36.138614084101135</v>
          </cell>
          <cell r="I140">
            <v>1.0656467567948999E-3</v>
          </cell>
          <cell r="J140">
            <v>3.9479250161344499E-4</v>
          </cell>
        </row>
        <row r="141">
          <cell r="B141" t="str">
            <v>CO2_T</v>
          </cell>
          <cell r="C141" t="str">
            <v>VAR_fout</v>
          </cell>
          <cell r="D141" t="str">
            <v>T_B_c-ICEDSL-S3</v>
          </cell>
          <cell r="E141">
            <v>11.862626548824878</v>
          </cell>
          <cell r="F141">
            <v>9.4084356108826963</v>
          </cell>
          <cell r="G141">
            <v>11.595003685988713</v>
          </cell>
        </row>
        <row r="142">
          <cell r="B142" t="str">
            <v>CO2_T</v>
          </cell>
          <cell r="C142" t="str">
            <v>VAR_fout</v>
          </cell>
          <cell r="D142" t="str">
            <v>T_B_c-ICEDSL-S4</v>
          </cell>
          <cell r="E142">
            <v>1.0445975306788167</v>
          </cell>
          <cell r="F142">
            <v>2.8962034194201861E-2</v>
          </cell>
          <cell r="G142">
            <v>3.6133011694093581E-2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T_B_u-ICENGA-S1</v>
          </cell>
          <cell r="F143">
            <v>0.106324388056074</v>
          </cell>
          <cell r="G143">
            <v>0.1526614341627511</v>
          </cell>
          <cell r="H143">
            <v>7.4520383759279601E-5</v>
          </cell>
          <cell r="I143">
            <v>3.5365100137960402E-4</v>
          </cell>
          <cell r="J143">
            <v>7.9605509123714698E-5</v>
          </cell>
        </row>
        <row r="144">
          <cell r="B144" t="str">
            <v>CO2_T</v>
          </cell>
          <cell r="C144" t="str">
            <v>VAR_fout</v>
          </cell>
          <cell r="D144" t="str">
            <v>T_B_u-ICENGA-S2</v>
          </cell>
          <cell r="F144">
            <v>0.16262824712459201</v>
          </cell>
          <cell r="G144">
            <v>0.26571794419765904</v>
          </cell>
          <cell r="I144">
            <v>1.4556024678960699E-4</v>
          </cell>
        </row>
        <row r="145">
          <cell r="B145" t="str">
            <v>CO2_T</v>
          </cell>
          <cell r="C145" t="str">
            <v>VAR_fout</v>
          </cell>
          <cell r="D145" t="str">
            <v>T_B_c-ICEDSLEXT</v>
          </cell>
          <cell r="E145">
            <v>0.44187720957897902</v>
          </cell>
          <cell r="F145">
            <v>0.440773675578501</v>
          </cell>
          <cell r="G145">
            <v>0.43754373383994699</v>
          </cell>
        </row>
        <row r="146">
          <cell r="B146" t="str">
            <v>CO2_T</v>
          </cell>
          <cell r="C146" t="str">
            <v>VAR_fout</v>
          </cell>
          <cell r="D146" t="str">
            <v>T_B_u-ICENGA-S3</v>
          </cell>
          <cell r="F146">
            <v>0.44497364987193799</v>
          </cell>
          <cell r="G146">
            <v>1.785397969543483</v>
          </cell>
          <cell r="I146">
            <v>7.9490723234267694E-6</v>
          </cell>
        </row>
        <row r="147">
          <cell r="B147" t="str">
            <v>CO2_T</v>
          </cell>
          <cell r="C147" t="str">
            <v>VAR_fout</v>
          </cell>
          <cell r="D147" t="str">
            <v>T_B_u-ICENGA-S4</v>
          </cell>
          <cell r="F147">
            <v>9.9542104515175605E-4</v>
          </cell>
          <cell r="G147">
            <v>2.8257413688223499E-3</v>
          </cell>
        </row>
        <row r="148">
          <cell r="B148" t="str">
            <v>CO2_T</v>
          </cell>
          <cell r="C148" t="str">
            <v>VAR_comnet</v>
          </cell>
          <cell r="D148" t="str">
            <v>-</v>
          </cell>
          <cell r="E148">
            <v>14744.6510753973</v>
          </cell>
          <cell r="F148">
            <v>14412.8381808007</v>
          </cell>
          <cell r="G148">
            <v>11528.143832973399</v>
          </cell>
          <cell r="H148">
            <v>6738.8375749585202</v>
          </cell>
          <cell r="I148">
            <v>3428.2167455191902</v>
          </cell>
          <cell r="J148">
            <v>1844.82987528891</v>
          </cell>
        </row>
        <row r="149">
          <cell r="B149" t="str">
            <v>CO2</v>
          </cell>
          <cell r="C149" t="str">
            <v>VAR_fout</v>
          </cell>
          <cell r="D149" t="str">
            <v>EWSTINCCS</v>
          </cell>
          <cell r="I149">
            <v>-362.87590449611798</v>
          </cell>
          <cell r="J149">
            <v>-1256.8800651599099</v>
          </cell>
        </row>
        <row r="150">
          <cell r="B150" t="str">
            <v>CO2</v>
          </cell>
          <cell r="C150" t="str">
            <v>VAR_fout</v>
          </cell>
          <cell r="D150" t="str">
            <v>othGHG</v>
          </cell>
          <cell r="E150">
            <v>9468.5879275113693</v>
          </cell>
          <cell r="F150">
            <v>9170.0953585432308</v>
          </cell>
          <cell r="G150">
            <v>8871.6027895751595</v>
          </cell>
          <cell r="H150">
            <v>7705.0514144714898</v>
          </cell>
          <cell r="I150">
            <v>4884.6359769115697</v>
          </cell>
          <cell r="J150">
            <v>4941.0259097081198</v>
          </cell>
        </row>
        <row r="151">
          <cell r="B151" t="str">
            <v>CO2</v>
          </cell>
          <cell r="C151" t="str">
            <v>VAR_fout</v>
          </cell>
          <cell r="D151" t="str">
            <v>D-ICOA</v>
          </cell>
          <cell r="E151">
            <v>330.012289097365</v>
          </cell>
          <cell r="F151">
            <v>321.17928113571401</v>
          </cell>
          <cell r="G151">
            <v>0.23438735291214099</v>
          </cell>
          <cell r="H151">
            <v>280.133429661783</v>
          </cell>
          <cell r="I151">
            <v>0.12384892011792201</v>
          </cell>
        </row>
        <row r="152">
          <cell r="B152" t="str">
            <v>CO2</v>
          </cell>
          <cell r="C152" t="str">
            <v>VAR_fout</v>
          </cell>
          <cell r="D152" t="str">
            <v>ENGA-CCS</v>
          </cell>
          <cell r="I152">
            <v>-0.26449599728742801</v>
          </cell>
          <cell r="J152">
            <v>-0.17383716015756301</v>
          </cell>
        </row>
        <row r="153">
          <cell r="B153" t="str">
            <v>CO2</v>
          </cell>
          <cell r="C153" t="str">
            <v>VAR_fout</v>
          </cell>
          <cell r="D153" t="str">
            <v>CHPWSTCCS</v>
          </cell>
          <cell r="I153">
            <v>-404.78033975075101</v>
          </cell>
          <cell r="J153">
            <v>-1199.2494352147401</v>
          </cell>
        </row>
        <row r="154">
          <cell r="B154" t="str">
            <v>CO2</v>
          </cell>
          <cell r="C154" t="str">
            <v>VAR_fout</v>
          </cell>
          <cell r="D154" t="str">
            <v>D-ENGA</v>
          </cell>
          <cell r="E154">
            <v>311.181518695303</v>
          </cell>
          <cell r="F154">
            <v>29.6068554085162</v>
          </cell>
          <cell r="G154">
            <v>155.095459733203</v>
          </cell>
          <cell r="H154">
            <v>14.299333809163601</v>
          </cell>
          <cell r="I154">
            <v>65.990199611756395</v>
          </cell>
          <cell r="J154">
            <v>1.6309512984013601E-2</v>
          </cell>
        </row>
        <row r="155">
          <cell r="B155" t="str">
            <v>CO2</v>
          </cell>
          <cell r="C155" t="str">
            <v>VAR_fout</v>
          </cell>
          <cell r="D155" t="str">
            <v>D-ILFO</v>
          </cell>
          <cell r="E155">
            <v>689.12808049041701</v>
          </cell>
          <cell r="F155">
            <v>648.131593050623</v>
          </cell>
          <cell r="G155">
            <v>595.69414204339796</v>
          </cell>
          <cell r="H155">
            <v>563.93192234722301</v>
          </cell>
          <cell r="I155">
            <v>236.13693504332599</v>
          </cell>
        </row>
        <row r="156">
          <cell r="B156" t="str">
            <v>CO2</v>
          </cell>
          <cell r="C156" t="str">
            <v>VAR_fout</v>
          </cell>
          <cell r="D156" t="str">
            <v>ITOT-CHPWSTCCS</v>
          </cell>
          <cell r="I156">
            <v>-220.391953206946</v>
          </cell>
          <cell r="J156">
            <v>-787.84983027141004</v>
          </cell>
        </row>
        <row r="157">
          <cell r="B157" t="str">
            <v>CO2</v>
          </cell>
          <cell r="C157" t="str">
            <v>VAR_fout</v>
          </cell>
          <cell r="D157" t="str">
            <v>ITOT-CHPNGACCS</v>
          </cell>
          <cell r="I157">
            <v>-0.23882635326183799</v>
          </cell>
          <cell r="J157">
            <v>-74.056330068726098</v>
          </cell>
        </row>
        <row r="158">
          <cell r="B158" t="str">
            <v>CO2</v>
          </cell>
          <cell r="C158" t="str">
            <v>VAR_fout</v>
          </cell>
          <cell r="D158" t="str">
            <v>D-TDSL</v>
          </cell>
          <cell r="E158">
            <v>9207.0404158223901</v>
          </cell>
          <cell r="F158">
            <v>8259.8869841585692</v>
          </cell>
          <cell r="G158">
            <v>6174.7872902832996</v>
          </cell>
          <cell r="H158">
            <v>3520.7807274709899</v>
          </cell>
          <cell r="I158">
            <v>2271.4733606159002</v>
          </cell>
          <cell r="J158">
            <v>954.28523395634897</v>
          </cell>
        </row>
        <row r="159">
          <cell r="B159" t="str">
            <v>CO2</v>
          </cell>
          <cell r="C159" t="str">
            <v>VAR_fout</v>
          </cell>
          <cell r="D159" t="str">
            <v>ITOT-PROCESSCO2</v>
          </cell>
          <cell r="E159">
            <v>2089.34680048464</v>
          </cell>
          <cell r="F159">
            <v>2111.0131698740802</v>
          </cell>
          <cell r="G159">
            <v>2102.26947106126</v>
          </cell>
          <cell r="H159">
            <v>2093.6571844602399</v>
          </cell>
          <cell r="I159">
            <v>2077.4132153713499</v>
          </cell>
          <cell r="J159">
            <v>2063.74955037679</v>
          </cell>
        </row>
        <row r="160">
          <cell r="B160" t="str">
            <v>CO2</v>
          </cell>
          <cell r="C160" t="str">
            <v>VAR_fout</v>
          </cell>
          <cell r="D160" t="str">
            <v>D-ELFO</v>
          </cell>
          <cell r="E160">
            <v>26.900201746116601</v>
          </cell>
          <cell r="F160">
            <v>179.53452578156899</v>
          </cell>
          <cell r="G160">
            <v>3.5659361582132401</v>
          </cell>
          <cell r="H160">
            <v>121.833111406462</v>
          </cell>
          <cell r="I160">
            <v>1.5510857635819999</v>
          </cell>
          <cell r="J160">
            <v>3.2879956237116901E-3</v>
          </cell>
        </row>
        <row r="161">
          <cell r="B161" t="str">
            <v>CO2</v>
          </cell>
          <cell r="C161" t="str">
            <v>VAR_fout</v>
          </cell>
          <cell r="D161" t="str">
            <v>D-TNGA</v>
          </cell>
          <cell r="E161">
            <v>16.144264030377101</v>
          </cell>
          <cell r="F161">
            <v>10.658886623067</v>
          </cell>
          <cell r="G161">
            <v>15.851881626670799</v>
          </cell>
          <cell r="H161">
            <v>1.96327870895317</v>
          </cell>
          <cell r="I161">
            <v>0.30453578433429102</v>
          </cell>
          <cell r="J161">
            <v>1.45141062713887E-2</v>
          </cell>
        </row>
        <row r="162">
          <cell r="B162" t="str">
            <v>CO2</v>
          </cell>
          <cell r="C162" t="str">
            <v>VAR_fout</v>
          </cell>
          <cell r="D162" t="str">
            <v>D-SNGA</v>
          </cell>
          <cell r="E162">
            <v>1522.6009704358901</v>
          </cell>
          <cell r="F162">
            <v>1528.09375879657</v>
          </cell>
          <cell r="G162">
            <v>1285.13384332693</v>
          </cell>
          <cell r="H162">
            <v>984.03670794196296</v>
          </cell>
          <cell r="I162">
            <v>550.59213618772105</v>
          </cell>
          <cell r="J162">
            <v>200.99058812268399</v>
          </cell>
        </row>
        <row r="163">
          <cell r="B163" t="str">
            <v>CO2</v>
          </cell>
          <cell r="C163" t="str">
            <v>VAR_fout</v>
          </cell>
          <cell r="D163" t="str">
            <v>CO2compabroad</v>
          </cell>
          <cell r="H163">
            <v>-7.8165421276679096E-4</v>
          </cell>
          <cell r="I163">
            <v>-1562.4558800555101</v>
          </cell>
          <cell r="J163">
            <v>-4941.0259097081198</v>
          </cell>
        </row>
        <row r="164">
          <cell r="B164" t="str">
            <v>CO2</v>
          </cell>
          <cell r="C164" t="str">
            <v>VAR_fout</v>
          </cell>
          <cell r="D164" t="str">
            <v>D-RNGA</v>
          </cell>
          <cell r="E164">
            <v>2662.9055686547999</v>
          </cell>
          <cell r="F164">
            <v>2631.0923342889</v>
          </cell>
          <cell r="G164">
            <v>2564.8375785821599</v>
          </cell>
          <cell r="H164">
            <v>1947.58455195384</v>
          </cell>
          <cell r="I164">
            <v>1172.9939572978899</v>
          </cell>
          <cell r="J164">
            <v>525.636244981804</v>
          </cell>
        </row>
        <row r="165">
          <cell r="B165" t="str">
            <v>CO2</v>
          </cell>
          <cell r="C165" t="str">
            <v>VAR_fout</v>
          </cell>
          <cell r="D165" t="str">
            <v>D-IHFO</v>
          </cell>
          <cell r="E165">
            <v>213.78049979206901</v>
          </cell>
          <cell r="F165">
            <v>0.10118425737699201</v>
          </cell>
          <cell r="G165">
            <v>0.118506358641328</v>
          </cell>
          <cell r="H165">
            <v>1.0159403058812799</v>
          </cell>
          <cell r="I165">
            <v>0.124938563742895</v>
          </cell>
        </row>
        <row r="166">
          <cell r="B166" t="str">
            <v>CO2</v>
          </cell>
          <cell r="C166" t="str">
            <v>VAR_fout</v>
          </cell>
          <cell r="D166" t="str">
            <v>SUP_WSTHTGBIOCCS</v>
          </cell>
          <cell r="I166">
            <v>-6.0527278259905597E-3</v>
          </cell>
          <cell r="J166">
            <v>-2.22357539821063E-2</v>
          </cell>
        </row>
        <row r="167">
          <cell r="B167" t="str">
            <v>CO2</v>
          </cell>
          <cell r="C167" t="str">
            <v>VAR_fout</v>
          </cell>
          <cell r="D167" t="str">
            <v>D-SLFO</v>
          </cell>
          <cell r="E167">
            <v>2267.78876344947</v>
          </cell>
          <cell r="F167">
            <v>2030.7446045778699</v>
          </cell>
          <cell r="G167">
            <v>1881.80141301052</v>
          </cell>
          <cell r="H167">
            <v>1137.56264183346</v>
          </cell>
          <cell r="I167">
            <v>389.99008007304099</v>
          </cell>
        </row>
        <row r="168">
          <cell r="B168" t="str">
            <v>CO2</v>
          </cell>
          <cell r="C168" t="str">
            <v>VAR_fout</v>
          </cell>
          <cell r="D168" t="str">
            <v>D-RCOA</v>
          </cell>
          <cell r="E168">
            <v>9.2700566823638209</v>
          </cell>
          <cell r="F168">
            <v>9.2699744280713894</v>
          </cell>
          <cell r="G168">
            <v>2.4637410685892398</v>
          </cell>
          <cell r="H168">
            <v>2.0839161823898101E-2</v>
          </cell>
        </row>
        <row r="169">
          <cell r="B169" t="str">
            <v>CO2</v>
          </cell>
          <cell r="C169" t="str">
            <v>VAR_fout</v>
          </cell>
          <cell r="D169" t="str">
            <v>ITOT-CHPWODCCS</v>
          </cell>
          <cell r="I169">
            <v>-297.19594109590503</v>
          </cell>
          <cell r="J169">
            <v>-1430.4749118719401</v>
          </cell>
        </row>
        <row r="170">
          <cell r="B170" t="str">
            <v>CO2</v>
          </cell>
          <cell r="C170" t="str">
            <v>VAR_fout</v>
          </cell>
          <cell r="D170" t="str">
            <v>D-RLFO</v>
          </cell>
          <cell r="E170">
            <v>4514.48294827055</v>
          </cell>
          <cell r="F170">
            <v>3846.5261661988202</v>
          </cell>
          <cell r="G170">
            <v>3572.1612315819002</v>
          </cell>
          <cell r="H170">
            <v>1766.7426916162999</v>
          </cell>
          <cell r="I170">
            <v>423.03759514880397</v>
          </cell>
        </row>
        <row r="171">
          <cell r="B171" t="str">
            <v>CO2</v>
          </cell>
          <cell r="C171" t="str">
            <v>VAR_fout</v>
          </cell>
          <cell r="D171" t="str">
            <v>D-TGSL</v>
          </cell>
          <cell r="E171">
            <v>5140.3513244178102</v>
          </cell>
          <cell r="F171">
            <v>5702.3238056241298</v>
          </cell>
          <cell r="G171">
            <v>4869.6324517656203</v>
          </cell>
          <cell r="H171">
            <v>2720.0967450724302</v>
          </cell>
          <cell r="I171">
            <v>740.98291381659203</v>
          </cell>
          <cell r="J171">
            <v>248.57700933787601</v>
          </cell>
        </row>
        <row r="172">
          <cell r="B172" t="str">
            <v>CO2</v>
          </cell>
          <cell r="C172" t="str">
            <v>VAR_fout</v>
          </cell>
          <cell r="D172" t="str">
            <v>EWOD-CCS</v>
          </cell>
          <cell r="I172">
            <v>-0.21431265707685199</v>
          </cell>
          <cell r="J172">
            <v>-176.92243215478501</v>
          </cell>
        </row>
        <row r="173">
          <cell r="B173" t="str">
            <v>CO2</v>
          </cell>
          <cell r="C173" t="str">
            <v>VAR_fout</v>
          </cell>
          <cell r="D173" t="str">
            <v>ITOT-PROCESSCO2CCS</v>
          </cell>
          <cell r="I173">
            <v>-9.5377483982425695E-2</v>
          </cell>
          <cell r="J173">
            <v>-1031.87842336361</v>
          </cell>
        </row>
        <row r="174">
          <cell r="B174" t="str">
            <v>CO2</v>
          </cell>
          <cell r="C174" t="str">
            <v>VAR_fout</v>
          </cell>
          <cell r="D174" t="str">
            <v>D-IWST</v>
          </cell>
          <cell r="E174">
            <v>1068.1283717910301</v>
          </cell>
          <cell r="F174">
            <v>1109.0392320055</v>
          </cell>
          <cell r="G174">
            <v>1024.6412024864101</v>
          </cell>
          <cell r="H174">
            <v>1085.4288998115401</v>
          </cell>
          <cell r="I174">
            <v>997.43112997149603</v>
          </cell>
          <cell r="J174">
            <v>1086.8541595755401</v>
          </cell>
        </row>
        <row r="175">
          <cell r="B175" t="str">
            <v>CO2</v>
          </cell>
          <cell r="C175" t="str">
            <v>VAR_fout</v>
          </cell>
          <cell r="D175" t="str">
            <v>SUP_WODH2CCS</v>
          </cell>
          <cell r="J175">
            <v>-1026.08662938365</v>
          </cell>
        </row>
        <row r="176">
          <cell r="B176" t="str">
            <v>CO2</v>
          </cell>
          <cell r="C176" t="str">
            <v>VAR_fout</v>
          </cell>
          <cell r="D176" t="str">
            <v>SUP_WODBIOCCS</v>
          </cell>
          <cell r="I176">
            <v>-2.7294503645321599E-2</v>
          </cell>
          <cell r="J176">
            <v>-69.614864104172398</v>
          </cell>
        </row>
        <row r="177">
          <cell r="B177" t="str">
            <v>CO2</v>
          </cell>
          <cell r="C177" t="str">
            <v>VAR_fout</v>
          </cell>
          <cell r="D177" t="str">
            <v>SUP_NGAH2CCS</v>
          </cell>
          <cell r="J177">
            <v>-2.19022256358859E-2</v>
          </cell>
        </row>
        <row r="178">
          <cell r="B178" t="str">
            <v>CO2</v>
          </cell>
          <cell r="C178" t="str">
            <v>VAR_fout</v>
          </cell>
          <cell r="D178" t="str">
            <v>CT_CWODETHCCS</v>
          </cell>
          <cell r="I178">
            <v>-3.49546971794212E-3</v>
          </cell>
          <cell r="J178">
            <v>-8.6076005507660796</v>
          </cell>
        </row>
        <row r="179">
          <cell r="B179" t="str">
            <v>CO2</v>
          </cell>
          <cell r="C179" t="str">
            <v>VAR_fout</v>
          </cell>
          <cell r="D179" t="str">
            <v>D-TKER</v>
          </cell>
          <cell r="E179">
            <v>80.763254672403804</v>
          </cell>
          <cell r="F179">
            <v>102.299643522715</v>
          </cell>
          <cell r="G179">
            <v>134.604226798182</v>
          </cell>
          <cell r="H179">
            <v>152.34414890646499</v>
          </cell>
          <cell r="I179">
            <v>155.93732092185201</v>
          </cell>
          <cell r="J179">
            <v>7.3240249099103307E-5</v>
          </cell>
        </row>
        <row r="180">
          <cell r="B180" t="str">
            <v>CO2</v>
          </cell>
          <cell r="C180" t="str">
            <v>VAR_fout</v>
          </cell>
          <cell r="D180" t="str">
            <v>D-INGA</v>
          </cell>
          <cell r="E180">
            <v>2101.94194039984</v>
          </cell>
          <cell r="F180">
            <v>1819.5418082249901</v>
          </cell>
          <cell r="G180">
            <v>1736.4613995039899</v>
          </cell>
          <cell r="H180">
            <v>592.68308622974405</v>
          </cell>
          <cell r="I180">
            <v>390.66215365749099</v>
          </cell>
          <cell r="J180">
            <v>67.510452742815104</v>
          </cell>
        </row>
        <row r="181">
          <cell r="B181" t="str">
            <v>CO2</v>
          </cell>
          <cell r="C181" t="str">
            <v>VAR_fout</v>
          </cell>
          <cell r="D181" t="str">
            <v>SUP_DAC</v>
          </cell>
          <cell r="I181">
            <v>-6.57055377652873E-3</v>
          </cell>
          <cell r="J181">
            <v>-0.25755334510381001</v>
          </cell>
        </row>
        <row r="182">
          <cell r="B182" t="str">
            <v>CO2</v>
          </cell>
          <cell r="C182" t="str">
            <v>VAR_fout</v>
          </cell>
          <cell r="D182" t="str">
            <v>CT_CWODBDSCCS</v>
          </cell>
          <cell r="I182">
            <v>-4.58925391915352E-2</v>
          </cell>
          <cell r="J182">
            <v>-638.45375885505405</v>
          </cell>
        </row>
        <row r="183">
          <cell r="B183" t="str">
            <v>CO2</v>
          </cell>
          <cell r="C183" t="str">
            <v>VAR_fout</v>
          </cell>
          <cell r="D183" t="str">
            <v>D-EWST</v>
          </cell>
          <cell r="E183">
            <v>2266.2744673564598</v>
          </cell>
          <cell r="F183">
            <v>2253.85911405669</v>
          </cell>
          <cell r="G183">
            <v>2319.1466995476999</v>
          </cell>
          <cell r="H183">
            <v>2366.5532957958999</v>
          </cell>
          <cell r="I183">
            <v>2460.1428838092302</v>
          </cell>
          <cell r="J183">
            <v>2552.91170536447</v>
          </cell>
        </row>
        <row r="184">
          <cell r="B184" t="str">
            <v>CO2</v>
          </cell>
          <cell r="C184" t="str">
            <v>VAR_comnet</v>
          </cell>
          <cell r="D184" t="str">
            <v>-</v>
          </cell>
          <cell r="E184">
            <v>43986.629663800602</v>
          </cell>
          <cell r="F184">
            <v>41762.998280557003</v>
          </cell>
          <cell r="G184">
            <v>37310.103651864702</v>
          </cell>
          <cell r="H184">
            <v>27055.7191693114</v>
          </cell>
          <cell r="I184">
            <v>13970.9220381874</v>
          </cell>
          <cell r="J184">
            <v>-1.55100705949494E-5</v>
          </cell>
        </row>
        <row r="185">
          <cell r="B185" t="str">
            <v>CO2</v>
          </cell>
          <cell r="C185" t="str">
            <v>EQ_combalM</v>
          </cell>
          <cell r="D185" t="str">
            <v>-</v>
          </cell>
          <cell r="H185">
            <v>1.82977635109268E-8</v>
          </cell>
          <cell r="I185">
            <v>-0.20653241571910499</v>
          </cell>
          <cell r="J185">
            <v>-1.11974003077116</v>
          </cell>
        </row>
        <row r="186">
          <cell r="B186" t="str">
            <v>CO2_X</v>
          </cell>
          <cell r="C186" t="str">
            <v>VAR_fout</v>
          </cell>
          <cell r="D186" t="str">
            <v>D-CO2_O</v>
          </cell>
          <cell r="J186">
            <v>2241.9438946105292</v>
          </cell>
        </row>
        <row r="187">
          <cell r="B187" t="str">
            <v>CO2_X</v>
          </cell>
          <cell r="C187" t="str">
            <v>VAR_fin</v>
          </cell>
          <cell r="D187" t="str">
            <v>CO2EXP</v>
          </cell>
          <cell r="J187">
            <v>2241.9438946105292</v>
          </cell>
        </row>
        <row r="188">
          <cell r="B188" t="str">
            <v>CO2_X</v>
          </cell>
          <cell r="C188" t="str">
            <v>EQ_combalM</v>
          </cell>
          <cell r="D188" t="str">
            <v>-</v>
          </cell>
          <cell r="I188">
            <v>-42.572433503670965</v>
          </cell>
          <cell r="J188">
            <v>16.868393037844154</v>
          </cell>
        </row>
        <row r="189">
          <cell r="B189" t="str">
            <v>CO2seq</v>
          </cell>
          <cell r="C189" t="str">
            <v>VAR_fout</v>
          </cell>
          <cell r="D189" t="str">
            <v>CO2SINK</v>
          </cell>
          <cell r="I189">
            <v>833.33287858747633</v>
          </cell>
          <cell r="J189">
            <v>3461.5386153010259</v>
          </cell>
        </row>
        <row r="190">
          <cell r="B190" t="str">
            <v>CO2seq</v>
          </cell>
          <cell r="C190" t="str">
            <v>VAR_comnet</v>
          </cell>
          <cell r="D190" t="str">
            <v>-</v>
          </cell>
          <cell r="I190">
            <v>833.33287858747633</v>
          </cell>
          <cell r="J190">
            <v>3461.5386153010259</v>
          </cell>
        </row>
        <row r="191">
          <cell r="B191" t="str">
            <v>CO2_SECTOR</v>
          </cell>
          <cell r="C191" t="str">
            <v>VAR_fout</v>
          </cell>
          <cell r="D191" t="str">
            <v>CO2_IND</v>
          </cell>
          <cell r="E191">
            <v>6492.3379820553673</v>
          </cell>
          <cell r="F191">
            <v>6009.0062685482735</v>
          </cell>
          <cell r="G191">
            <v>5459.4191088066136</v>
          </cell>
          <cell r="H191">
            <v>4616.8504628164055</v>
          </cell>
          <cell r="I191">
            <v>3701.8922215275211</v>
          </cell>
          <cell r="J191">
            <v>3218.1143317184315</v>
          </cell>
        </row>
        <row r="192">
          <cell r="B192" t="str">
            <v>CO2_SECTOR</v>
          </cell>
          <cell r="C192" t="str">
            <v>VAR_fout</v>
          </cell>
          <cell r="D192" t="str">
            <v>CO2_RES</v>
          </cell>
          <cell r="E192">
            <v>7186.6585736077204</v>
          </cell>
          <cell r="F192">
            <v>6486.8884749158024</v>
          </cell>
          <cell r="G192">
            <v>6139.4625512326402</v>
          </cell>
          <cell r="H192">
            <v>3714.3480827319595</v>
          </cell>
          <cell r="I192">
            <v>1596.0315524466901</v>
          </cell>
          <cell r="J192">
            <v>525.6363737272178</v>
          </cell>
        </row>
        <row r="193">
          <cell r="B193" t="str">
            <v>CO2_SECTOR</v>
          </cell>
          <cell r="C193" t="str">
            <v>VAR_fout</v>
          </cell>
          <cell r="D193" t="str">
            <v>CO2_TRA</v>
          </cell>
          <cell r="E193">
            <v>14443.112353693976</v>
          </cell>
          <cell r="F193">
            <v>14073.665913653453</v>
          </cell>
          <cell r="G193">
            <v>11192.897692659673</v>
          </cell>
          <cell r="H193">
            <v>6392.9460345915413</v>
          </cell>
          <cell r="I193">
            <v>3166.4064599391281</v>
          </cell>
          <cell r="J193">
            <v>1202.8768295643974</v>
          </cell>
        </row>
        <row r="194">
          <cell r="B194" t="str">
            <v>CO2_SECTOR</v>
          </cell>
          <cell r="C194" t="str">
            <v>VAR_fout</v>
          </cell>
          <cell r="D194" t="str">
            <v>CO2_ELC</v>
          </cell>
          <cell r="E194">
            <v>2604.3561877978818</v>
          </cell>
          <cell r="F194">
            <v>2463.0004952467752</v>
          </cell>
          <cell r="G194">
            <v>2477.8080954391116</v>
          </cell>
          <cell r="H194">
            <v>2502.6857410115231</v>
          </cell>
          <cell r="I194">
            <v>2527.6841691845675</v>
          </cell>
          <cell r="J194">
            <v>2552.9313028730771</v>
          </cell>
        </row>
        <row r="195">
          <cell r="B195" t="str">
            <v>CO2_SECTOR</v>
          </cell>
          <cell r="C195" t="str">
            <v>VAR_fout</v>
          </cell>
          <cell r="D195" t="str">
            <v>CO2_SER</v>
          </cell>
          <cell r="E195">
            <v>3790.3897338853581</v>
          </cell>
          <cell r="F195">
            <v>3558.8383633744429</v>
          </cell>
          <cell r="G195">
            <v>3166.9352563374446</v>
          </cell>
          <cell r="H195">
            <v>2121.5993497754207</v>
          </cell>
          <cell r="I195">
            <v>940.58221626076204</v>
          </cell>
          <cell r="J195">
            <v>200.99070453235822</v>
          </cell>
        </row>
        <row r="196">
          <cell r="B196" t="str">
            <v>CO2_SECTOR</v>
          </cell>
          <cell r="C196" t="str">
            <v>VAR_fout</v>
          </cell>
          <cell r="D196" t="str">
            <v>CO2_ELCCCS</v>
          </cell>
          <cell r="E196">
            <v>2604.3561877978818</v>
          </cell>
          <cell r="F196">
            <v>2463.0004952467752</v>
          </cell>
          <cell r="G196">
            <v>2477.8080954391116</v>
          </cell>
          <cell r="H196">
            <v>2502.6857410115231</v>
          </cell>
          <cell r="I196">
            <v>1759.5480293159924</v>
          </cell>
          <cell r="J196">
            <v>-80.296419633509174</v>
          </cell>
        </row>
        <row r="197">
          <cell r="B197" t="str">
            <v>CO2_SECTOR</v>
          </cell>
          <cell r="C197" t="str">
            <v>VAR_fout</v>
          </cell>
          <cell r="D197" t="str">
            <v>CO2_H2CCS</v>
          </cell>
          <cell r="I197">
            <v>-8.2043111334792654E-2</v>
          </cell>
          <cell r="J197">
            <v>-1742.8059924558831</v>
          </cell>
        </row>
        <row r="198">
          <cell r="B198" t="str">
            <v>CO2_SECTOR</v>
          </cell>
          <cell r="C198" t="str">
            <v>VAR_fout</v>
          </cell>
          <cell r="D198" t="str">
            <v>CO2_INDCCS</v>
          </cell>
          <cell r="E198">
            <v>6492.3379820553673</v>
          </cell>
          <cell r="F198">
            <v>6009.0062685482735</v>
          </cell>
          <cell r="G198">
            <v>5459.4191088066136</v>
          </cell>
          <cell r="H198">
            <v>4616.8547397829971</v>
          </cell>
          <cell r="I198">
            <v>3183.970016702327</v>
          </cell>
          <cell r="J198">
            <v>-106.1434264923561</v>
          </cell>
        </row>
        <row r="199">
          <cell r="B199" t="str">
            <v>CO2_SECTOR</v>
          </cell>
          <cell r="C199" t="str">
            <v>VAR_comnet</v>
          </cell>
          <cell r="D199" t="str">
            <v>-</v>
          </cell>
          <cell r="E199">
            <v>43613.549000893574</v>
          </cell>
          <cell r="F199">
            <v>41063.406279533818</v>
          </cell>
          <cell r="G199">
            <v>36373.749908721191</v>
          </cell>
          <cell r="H199">
            <v>26467.970151721373</v>
          </cell>
          <cell r="I199">
            <v>16876.032622265633</v>
          </cell>
          <cell r="J199">
            <v>5771.3037038337488</v>
          </cell>
        </row>
        <row r="200">
          <cell r="B200" t="str">
            <v>CO2SC</v>
          </cell>
          <cell r="C200" t="str">
            <v>VAR_fout</v>
          </cell>
          <cell r="D200" t="str">
            <v>CO2S1</v>
          </cell>
          <cell r="E200">
            <v>6307.1990227535098</v>
          </cell>
          <cell r="F200">
            <v>6307.1990227535098</v>
          </cell>
          <cell r="G200">
            <v>6307.1990227535098</v>
          </cell>
          <cell r="H200">
            <v>6307.1990227535098</v>
          </cell>
          <cell r="I200">
            <v>6307.1990227535098</v>
          </cell>
          <cell r="J200">
            <v>6307.1990227535098</v>
          </cell>
        </row>
        <row r="201">
          <cell r="B201" t="str">
            <v>CO2SC</v>
          </cell>
          <cell r="C201" t="str">
            <v>VAR_fout</v>
          </cell>
          <cell r="D201" t="str">
            <v>CO2S2</v>
          </cell>
          <cell r="J201">
            <v>3.9482507003155597E-5</v>
          </cell>
        </row>
        <row r="202">
          <cell r="B202" t="str">
            <v>CO2SC</v>
          </cell>
          <cell r="C202" t="str">
            <v>VAR_fin</v>
          </cell>
          <cell r="D202" t="str">
            <v>CO2EXP</v>
          </cell>
          <cell r="J202">
            <v>2241.9438946105302</v>
          </cell>
        </row>
        <row r="203">
          <cell r="B203" t="str">
            <v>CO2SC</v>
          </cell>
          <cell r="C203" t="str">
            <v>EQ_combalM</v>
          </cell>
          <cell r="D203" t="str">
            <v>-</v>
          </cell>
          <cell r="J203">
            <v>-3.5591280267617599E-7</v>
          </cell>
        </row>
        <row r="204">
          <cell r="B204" t="str">
            <v>CO2P</v>
          </cell>
          <cell r="C204" t="str">
            <v>VAR_fout</v>
          </cell>
          <cell r="D204" t="str">
            <v>ITOT-PROCESSCO2</v>
          </cell>
          <cell r="E204">
            <v>2089.34680048464</v>
          </cell>
          <cell r="F204">
            <v>2111.0131698740802</v>
          </cell>
          <cell r="G204">
            <v>2102.26947106126</v>
          </cell>
          <cell r="H204">
            <v>2093.6571844602386</v>
          </cell>
          <cell r="I204">
            <v>2077.4132153713481</v>
          </cell>
          <cell r="J204">
            <v>2063.7495503767936</v>
          </cell>
        </row>
        <row r="205">
          <cell r="B205" t="str">
            <v>CO2P</v>
          </cell>
          <cell r="C205" t="str">
            <v>VAR_comnet</v>
          </cell>
          <cell r="D205" t="str">
            <v>-</v>
          </cell>
          <cell r="E205">
            <v>2089.34680048464</v>
          </cell>
          <cell r="F205">
            <v>2111.0131698740802</v>
          </cell>
          <cell r="G205">
            <v>2102.26947106126</v>
          </cell>
          <cell r="H205">
            <v>2093.6571844602386</v>
          </cell>
          <cell r="I205">
            <v>2077.4132153713481</v>
          </cell>
          <cell r="J205">
            <v>2063.7495503767936</v>
          </cell>
        </row>
        <row r="206">
          <cell r="B206" t="str">
            <v>CO2_E</v>
          </cell>
          <cell r="C206" t="str">
            <v>VAR_fout</v>
          </cell>
          <cell r="D206" t="str">
            <v>EWSTINCCS</v>
          </cell>
          <cell r="I206">
            <v>391.89324816310801</v>
          </cell>
          <cell r="J206">
            <v>1330.7709631990199</v>
          </cell>
        </row>
        <row r="207">
          <cell r="B207" t="str">
            <v>CO2_E</v>
          </cell>
          <cell r="C207" t="str">
            <v>VAR_fout</v>
          </cell>
          <cell r="D207" t="str">
            <v>ENGA-CCS</v>
          </cell>
          <cell r="I207">
            <v>0.33592998098809201</v>
          </cell>
          <cell r="J207">
            <v>0.21090575953434501</v>
          </cell>
        </row>
        <row r="208">
          <cell r="B208" t="str">
            <v>CO2_E</v>
          </cell>
          <cell r="C208" t="str">
            <v>VAR_fout</v>
          </cell>
          <cell r="D208" t="str">
            <v>CHPWSTCCS</v>
          </cell>
          <cell r="I208">
            <v>454.80937050646298</v>
          </cell>
          <cell r="J208">
            <v>1347.4712755221799</v>
          </cell>
        </row>
        <row r="209">
          <cell r="B209" t="str">
            <v>CO2_E</v>
          </cell>
          <cell r="C209" t="str">
            <v>VAR_fout</v>
          </cell>
          <cell r="D209" t="str">
            <v>HPLNGA</v>
          </cell>
          <cell r="E209">
            <v>114.383525908292</v>
          </cell>
          <cell r="F209">
            <v>29.20087626538</v>
          </cell>
          <cell r="G209">
            <v>150.581371918293</v>
          </cell>
          <cell r="H209">
            <v>0.12763985154459101</v>
          </cell>
          <cell r="I209">
            <v>0.13564279849680599</v>
          </cell>
          <cell r="J209">
            <v>3.2793168122852699E-3</v>
          </cell>
        </row>
        <row r="210">
          <cell r="B210" t="str">
            <v>CO2_E</v>
          </cell>
          <cell r="C210" t="str">
            <v>VAR_fout</v>
          </cell>
          <cell r="D210" t="str">
            <v>CHPWST</v>
          </cell>
          <cell r="E210">
            <v>2843.2556188580402</v>
          </cell>
          <cell r="F210">
            <v>2596.1816837066499</v>
          </cell>
          <cell r="G210">
            <v>2671.3711544289999</v>
          </cell>
          <cell r="H210">
            <v>2702.6026094026802</v>
          </cell>
          <cell r="I210">
            <v>2284.31461279624</v>
          </cell>
          <cell r="J210">
            <v>1096.7164100090199</v>
          </cell>
        </row>
        <row r="211">
          <cell r="B211" t="str">
            <v>CO2_E</v>
          </cell>
          <cell r="C211" t="str">
            <v>VAR_fout</v>
          </cell>
          <cell r="D211" t="str">
            <v>CHPNGA</v>
          </cell>
          <cell r="E211">
            <v>207.66124854788299</v>
          </cell>
          <cell r="F211">
            <v>0.18753547109277</v>
          </cell>
          <cell r="G211">
            <v>1.6371574876425301</v>
          </cell>
          <cell r="H211">
            <v>6.4406513456240599</v>
          </cell>
          <cell r="I211">
            <v>5.0093080958050402</v>
          </cell>
          <cell r="J211">
            <v>4.5351236228985799E-2</v>
          </cell>
        </row>
        <row r="212">
          <cell r="B212" t="str">
            <v>CO2_E</v>
          </cell>
          <cell r="C212" t="str">
            <v>VAR_fout</v>
          </cell>
          <cell r="D212" t="str">
            <v>EWSTINC</v>
          </cell>
          <cell r="E212">
            <v>1689.2933158548899</v>
          </cell>
          <cell r="F212">
            <v>1911.53680758418</v>
          </cell>
          <cell r="G212">
            <v>1966.92300489289</v>
          </cell>
          <cell r="H212">
            <v>2030.50398871059</v>
          </cell>
          <cell r="I212">
            <v>1789.27157229166</v>
          </cell>
          <cell r="J212">
            <v>1330.86561960986</v>
          </cell>
        </row>
        <row r="213">
          <cell r="B213" t="str">
            <v>CO2_E</v>
          </cell>
          <cell r="C213" t="str">
            <v>VAR_fout</v>
          </cell>
          <cell r="D213" t="str">
            <v>ENGA-GTCC</v>
          </cell>
          <cell r="I213">
            <v>3.7587708818888999</v>
          </cell>
          <cell r="J213">
            <v>8.0859129428292903E-2</v>
          </cell>
        </row>
        <row r="214">
          <cell r="B214" t="str">
            <v>CO2_E</v>
          </cell>
          <cell r="C214" t="str">
            <v>VAR_fout</v>
          </cell>
          <cell r="D214" t="str">
            <v>HPLOIL</v>
          </cell>
          <cell r="E214">
            <v>15.8767627673219</v>
          </cell>
          <cell r="F214">
            <v>176.289523735714</v>
          </cell>
          <cell r="G214">
            <v>0.211802468035373</v>
          </cell>
          <cell r="H214">
            <v>118.78801978616301</v>
          </cell>
          <cell r="I214">
            <v>5.50334174931357E-2</v>
          </cell>
        </row>
        <row r="215">
          <cell r="B215" t="str">
            <v>CO2_E</v>
          </cell>
          <cell r="C215" t="str">
            <v>VAR_fout</v>
          </cell>
          <cell r="D215" t="str">
            <v>CHPGFC</v>
          </cell>
          <cell r="I215">
            <v>4.4673000852311002</v>
          </cell>
          <cell r="J215">
            <v>3.8800264144714901E-2</v>
          </cell>
        </row>
        <row r="216">
          <cell r="B216" t="str">
            <v>CO2_E</v>
          </cell>
          <cell r="C216" t="str">
            <v>VAR_fout</v>
          </cell>
          <cell r="D216" t="str">
            <v>EOIL-ENG</v>
          </cell>
          <cell r="E216">
            <v>8.8820465595752793</v>
          </cell>
          <cell r="F216">
            <v>0.10758035788534499</v>
          </cell>
          <cell r="G216">
            <v>1.8082618496359599</v>
          </cell>
          <cell r="H216">
            <v>0.33889689526045103</v>
          </cell>
          <cell r="I216">
            <v>0.75389976962003802</v>
          </cell>
          <cell r="J216">
            <v>2.4292410280251E-3</v>
          </cell>
        </row>
        <row r="217">
          <cell r="B217" t="str">
            <v>CO2_E</v>
          </cell>
          <cell r="C217" t="str">
            <v>VAR_fout</v>
          </cell>
          <cell r="D217" t="str">
            <v>ENGA-GTOC</v>
          </cell>
          <cell r="F217">
            <v>0.13843211740445899</v>
          </cell>
          <cell r="G217">
            <v>2.5560920728502898</v>
          </cell>
          <cell r="H217">
            <v>8.1192414551210899</v>
          </cell>
          <cell r="I217">
            <v>53.53510227236</v>
          </cell>
          <cell r="J217">
            <v>0.79061517279769</v>
          </cell>
        </row>
        <row r="218">
          <cell r="B218" t="str">
            <v>CO2_E</v>
          </cell>
          <cell r="C218" t="str">
            <v>VAR_fout</v>
          </cell>
          <cell r="D218" t="str">
            <v>CHPOIL</v>
          </cell>
          <cell r="E218">
            <v>1.6921277006875799</v>
          </cell>
          <cell r="F218">
            <v>0.13908130535058999</v>
          </cell>
          <cell r="G218">
            <v>1.48651031307961</v>
          </cell>
          <cell r="H218">
            <v>0.67168054723051596</v>
          </cell>
          <cell r="I218">
            <v>0.72112298188067303</v>
          </cell>
          <cell r="J218">
            <v>1.3627600188616401E-3</v>
          </cell>
        </row>
        <row r="219">
          <cell r="B219" t="str">
            <v>CO2_E</v>
          </cell>
          <cell r="C219" t="str">
            <v>VAR_comnet</v>
          </cell>
          <cell r="D219" t="str">
            <v>-</v>
          </cell>
          <cell r="E219">
            <v>4881.0446461966903</v>
          </cell>
          <cell r="F219">
            <v>4713.78152054366</v>
          </cell>
          <cell r="G219">
            <v>4796.5753554314297</v>
          </cell>
          <cell r="H219">
            <v>4867.5927279942198</v>
          </cell>
          <cell r="I219">
            <v>4989.0609140412398</v>
          </cell>
          <cell r="J219">
            <v>5106.99787122006</v>
          </cell>
        </row>
        <row r="220">
          <cell r="B220" t="str">
            <v>CO2_I</v>
          </cell>
          <cell r="C220" t="str">
            <v>VAR_fout</v>
          </cell>
          <cell r="D220" t="str">
            <v>ITOT-CHPNGA</v>
          </cell>
          <cell r="E220">
            <v>108.419089388911</v>
          </cell>
          <cell r="F220">
            <v>34.064910579210697</v>
          </cell>
          <cell r="G220">
            <v>8.0862568314570993</v>
          </cell>
          <cell r="H220">
            <v>58.011466575470202</v>
          </cell>
          <cell r="I220">
            <v>268.790001557518</v>
          </cell>
          <cell r="J220">
            <v>129.86391442379499</v>
          </cell>
        </row>
        <row r="221">
          <cell r="B221" t="str">
            <v>CO2_I</v>
          </cell>
          <cell r="C221" t="str">
            <v>VAR_fout</v>
          </cell>
          <cell r="D221" t="str">
            <v>ITOT-SWHNGABR</v>
          </cell>
          <cell r="E221">
            <v>2005.1532879373201</v>
          </cell>
          <cell r="F221">
            <v>1779.7024434162199</v>
          </cell>
          <cell r="G221">
            <v>1723.60615085062</v>
          </cell>
          <cell r="H221">
            <v>544.47589127467802</v>
          </cell>
          <cell r="I221">
            <v>259.51734872617101</v>
          </cell>
          <cell r="J221">
            <v>7.1672854153670695E-2</v>
          </cell>
        </row>
        <row r="222">
          <cell r="B222" t="str">
            <v>CO2_I</v>
          </cell>
          <cell r="C222" t="str">
            <v>VAR_fout</v>
          </cell>
          <cell r="D222" t="str">
            <v>ITOT-CHPWSTCCS</v>
          </cell>
          <cell r="I222">
            <v>288.46072689363803</v>
          </cell>
          <cell r="J222">
            <v>1086.76703479661</v>
          </cell>
        </row>
        <row r="223">
          <cell r="B223" t="str">
            <v>CO2_I</v>
          </cell>
          <cell r="C223" t="str">
            <v>VAR_fout</v>
          </cell>
          <cell r="D223" t="str">
            <v>ITOT-SWHLFOBR</v>
          </cell>
          <cell r="E223">
            <v>655.768249811087</v>
          </cell>
          <cell r="F223">
            <v>586.09387347270604</v>
          </cell>
          <cell r="G223">
            <v>584.66025576990899</v>
          </cell>
          <cell r="H223">
            <v>507.03410681214598</v>
          </cell>
          <cell r="I223">
            <v>245.387338618695</v>
          </cell>
          <cell r="J223">
            <v>18.248308751758898</v>
          </cell>
        </row>
        <row r="224">
          <cell r="B224" t="str">
            <v>CO2_I</v>
          </cell>
          <cell r="C224" t="str">
            <v>VAR_fout</v>
          </cell>
          <cell r="D224" t="str">
            <v>ITOT-CHPNGACCS</v>
          </cell>
          <cell r="I224">
            <v>0.30633806530864799</v>
          </cell>
          <cell r="J224">
            <v>83.458054524648603</v>
          </cell>
        </row>
        <row r="225">
          <cell r="B225" t="str">
            <v>CO2_I</v>
          </cell>
          <cell r="C225" t="str">
            <v>VAR_fout</v>
          </cell>
          <cell r="D225" t="str">
            <v>ITOT-CHPGFC</v>
          </cell>
          <cell r="H225">
            <v>0.135743090464573</v>
          </cell>
          <cell r="I225">
            <v>0.51217707638877497</v>
          </cell>
          <cell r="J225">
            <v>7.2841271500224902E-2</v>
          </cell>
        </row>
        <row r="226">
          <cell r="B226" t="str">
            <v>CO2_I</v>
          </cell>
          <cell r="C226" t="str">
            <v>VAR_fout</v>
          </cell>
          <cell r="D226" t="str">
            <v>ITOT-SWHCOABR</v>
          </cell>
          <cell r="E226">
            <v>330.012289097365</v>
          </cell>
          <cell r="F226">
            <v>321.17928113571401</v>
          </cell>
          <cell r="G226">
            <v>0.23438735291214099</v>
          </cell>
          <cell r="H226">
            <v>280.133429661783</v>
          </cell>
          <cell r="I226">
            <v>0.12384892011792201</v>
          </cell>
        </row>
        <row r="227">
          <cell r="B227" t="str">
            <v>CO2_I</v>
          </cell>
          <cell r="C227" t="str">
            <v>VAR_fout</v>
          </cell>
          <cell r="D227" t="str">
            <v>ITOT-CHPOIL</v>
          </cell>
          <cell r="E227">
            <v>21.850588628436999</v>
          </cell>
          <cell r="F227">
            <v>51.214034007859098</v>
          </cell>
          <cell r="G227">
            <v>1.0972050823324899</v>
          </cell>
          <cell r="H227">
            <v>47.491337258079298</v>
          </cell>
          <cell r="I227">
            <v>5.1953530150790099</v>
          </cell>
          <cell r="J227">
            <v>0.14080913682819601</v>
          </cell>
        </row>
        <row r="228">
          <cell r="B228" t="str">
            <v>CO2_I</v>
          </cell>
          <cell r="C228" t="str">
            <v>VAR_fout</v>
          </cell>
          <cell r="D228" t="str">
            <v>ITOT-SWHWSTBR</v>
          </cell>
          <cell r="E228">
            <v>723.65829263310604</v>
          </cell>
          <cell r="F228">
            <v>749.83768129430803</v>
          </cell>
          <cell r="G228">
            <v>520.44776280911003</v>
          </cell>
          <cell r="H228">
            <v>551.32125959200198</v>
          </cell>
          <cell r="I228">
            <v>506.62802221950699</v>
          </cell>
          <cell r="J228">
            <v>2.5523298529241598E-2</v>
          </cell>
        </row>
        <row r="229">
          <cell r="B229" t="str">
            <v>CO2_I</v>
          </cell>
          <cell r="C229" t="str">
            <v>VAR_fout</v>
          </cell>
          <cell r="D229" t="str">
            <v>ITOT-SWHNGAHP</v>
          </cell>
          <cell r="G229">
            <v>0.286756198899418</v>
          </cell>
          <cell r="H229">
            <v>0.28149835355862601</v>
          </cell>
          <cell r="I229">
            <v>0.304951081730787</v>
          </cell>
          <cell r="J229">
            <v>0.103710049443235</v>
          </cell>
        </row>
        <row r="230">
          <cell r="B230" t="str">
            <v>CO2_I</v>
          </cell>
          <cell r="C230" t="str">
            <v>VAR_fout</v>
          </cell>
          <cell r="D230" t="str">
            <v>ITOT-CHPWST</v>
          </cell>
          <cell r="E230">
            <v>344.47007915792602</v>
          </cell>
          <cell r="F230">
            <v>359.20250606221703</v>
          </cell>
          <cell r="G230">
            <v>504.19562840053999</v>
          </cell>
          <cell r="H230">
            <v>534.10835725399897</v>
          </cell>
          <cell r="I230">
            <v>202.35988597441801</v>
          </cell>
          <cell r="J230">
            <v>6.7450131722524204E-2</v>
          </cell>
        </row>
        <row r="231">
          <cell r="B231" t="str">
            <v>CO2_I</v>
          </cell>
          <cell r="C231" t="str">
            <v>VAR_fout</v>
          </cell>
          <cell r="D231" t="str">
            <v>ITOT-SWHHFOBR</v>
          </cell>
          <cell r="E231">
            <v>210.210116306728</v>
          </cell>
          <cell r="F231">
            <v>9.9494362359126898E-2</v>
          </cell>
          <cell r="G231">
            <v>0.116527164345251</v>
          </cell>
          <cell r="H231">
            <v>0.99897291880089001</v>
          </cell>
          <cell r="I231">
            <v>0.12285194412556</v>
          </cell>
        </row>
        <row r="232">
          <cell r="B232" t="str">
            <v>CO2_I</v>
          </cell>
          <cell r="C232" t="str">
            <v>VAR_comnet</v>
          </cell>
          <cell r="D232" t="str">
            <v>-</v>
          </cell>
          <cell r="E232">
            <v>4399.5419929608797</v>
          </cell>
          <cell r="F232">
            <v>3881.3942243305901</v>
          </cell>
          <cell r="G232">
            <v>3342.7309304601299</v>
          </cell>
          <cell r="H232">
            <v>2523.9920627909801</v>
          </cell>
          <cell r="I232">
            <v>1777.7088440927</v>
          </cell>
          <cell r="J232">
            <v>1318.8193192389899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8.45238593041717E-7</v>
          </cell>
          <cell r="I4">
            <v>1.3164158136310699E-6</v>
          </cell>
          <cell r="J4">
            <v>6.6195510752506599E-5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2.9450278688263599E-5</v>
          </cell>
          <cell r="J5">
            <v>1.5563453344176001E-6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0.354951605211342</v>
          </cell>
          <cell r="I6">
            <v>0.26810580601933898</v>
          </cell>
          <cell r="J6">
            <v>0.42878139901920298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9.857268508441591E-7</v>
          </cell>
          <cell r="I7">
            <v>7.1651140336800506E-2</v>
          </cell>
          <cell r="J7">
            <v>1.15459293981678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1.7595916377844801E-6</v>
          </cell>
          <cell r="F8">
            <v>4.90070744658187E-7</v>
          </cell>
          <cell r="G8">
            <v>6.6944473557245204E-7</v>
          </cell>
          <cell r="H8">
            <v>9.9337564437711605E-7</v>
          </cell>
          <cell r="I8">
            <v>2.32036000797354E-6</v>
          </cell>
          <cell r="J8">
            <v>3.73612031808672E-6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2.3762486168846398E-3</v>
          </cell>
          <cell r="J9">
            <v>1.18389263910724E-3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4.09974711374788E-3</v>
          </cell>
          <cell r="F10">
            <v>2.93755801846491E-3</v>
          </cell>
          <cell r="G10">
            <v>7.9541890801185901E-7</v>
          </cell>
          <cell r="H10">
            <v>0.11944803298734399</v>
          </cell>
          <cell r="I10">
            <v>4.9812139855354702E-2</v>
          </cell>
          <cell r="J10">
            <v>0.17513581257317501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3.2509710966195197E-7</v>
          </cell>
          <cell r="F11">
            <v>3.4486378585196098E-7</v>
          </cell>
          <cell r="G11">
            <v>4.1659323872924999E-7</v>
          </cell>
          <cell r="H11">
            <v>5.1408364038419999E-7</v>
          </cell>
          <cell r="I11">
            <v>1.7341221767916E-6</v>
          </cell>
          <cell r="J11">
            <v>3.1969378066595898E-4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1.4383745621606299E-2</v>
          </cell>
          <cell r="F12">
            <v>7.25162204655697E-2</v>
          </cell>
          <cell r="G12">
            <v>1.18095697099967E-6</v>
          </cell>
          <cell r="H12">
            <v>0.105680063679631</v>
          </cell>
          <cell r="I12">
            <v>2.9357994325746501E-2</v>
          </cell>
          <cell r="J12">
            <v>0.28404729970027198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H13">
            <v>5.8001966506766197E-5</v>
          </cell>
          <cell r="I13">
            <v>0.107871838344965</v>
          </cell>
          <cell r="J13">
            <v>1.3595169363522301E-7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2.4941246483554199E-7</v>
          </cell>
          <cell r="F14">
            <v>1.3158127416803001E-7</v>
          </cell>
          <cell r="G14">
            <v>1.5365773037186201E-7</v>
          </cell>
          <cell r="H14">
            <v>1.0565515413198699E-7</v>
          </cell>
          <cell r="I14">
            <v>1.93864505494965E-7</v>
          </cell>
          <cell r="J14">
            <v>5.8393873835702698E-7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1.02410092454872</v>
          </cell>
          <cell r="I15">
            <v>0.38817224529095101</v>
          </cell>
          <cell r="J15">
            <v>3.8287176463683599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1.74159695750421E-6</v>
          </cell>
          <cell r="I16">
            <v>0.237103168721925</v>
          </cell>
          <cell r="J16">
            <v>0.12187569321448299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3.0114109291086999</v>
          </cell>
          <cell r="I17">
            <v>0.98773873739586404</v>
          </cell>
          <cell r="J17">
            <v>7.8028005434647998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6.20462874602135E-7</v>
          </cell>
          <cell r="F18">
            <v>1.66990401111384E-7</v>
          </cell>
          <cell r="G18">
            <v>2.7728721495064199E-7</v>
          </cell>
          <cell r="H18">
            <v>2.76510477870208E-7</v>
          </cell>
          <cell r="I18">
            <v>6.82929337374226E-7</v>
          </cell>
          <cell r="J18">
            <v>1.2179410748087301E-6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5.02989305761165E-2</v>
          </cell>
          <cell r="F19">
            <v>8.2486432401567097E-2</v>
          </cell>
          <cell r="G19">
            <v>3.4770560448157299E-6</v>
          </cell>
          <cell r="H19">
            <v>8.8748099725707505E-2</v>
          </cell>
          <cell r="I19">
            <v>7.24158898697429E-2</v>
          </cell>
          <cell r="J19">
            <v>0.23725202303888199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3.0328559632058098E-7</v>
          </cell>
          <cell r="F20">
            <v>1.08361357588754E-7</v>
          </cell>
          <cell r="G20">
            <v>1.9164760866825E-7</v>
          </cell>
          <cell r="H20">
            <v>9.5630860497183498E-8</v>
          </cell>
          <cell r="I20">
            <v>2.1060223682405099E-7</v>
          </cell>
          <cell r="J20">
            <v>7.2847807862809397E-7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1.0837268426105301E-5</v>
          </cell>
          <cell r="J21">
            <v>9.2675544756094793E-6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1.1394321850577501E-6</v>
          </cell>
          <cell r="F22">
            <v>3.8498995186955999E-5</v>
          </cell>
          <cell r="G22">
            <v>1.86474823173159E-6</v>
          </cell>
          <cell r="H22">
            <v>1.7689493620817099E-6</v>
          </cell>
          <cell r="I22">
            <v>3.0084715022411302E-6</v>
          </cell>
          <cell r="J22">
            <v>3.8905252519474102E-4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5.9510118270939797E-4</v>
          </cell>
          <cell r="J23">
            <v>4.1132724144889198E-4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0.62088335052750598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2.91995617227041E-5</v>
          </cell>
          <cell r="J25">
            <v>4.39721917861009E-2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6.2147908571071702E-7</v>
          </cell>
          <cell r="J26">
            <v>5.9384988419095302E-5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3.3809320624749898E-4</v>
          </cell>
          <cell r="F27">
            <v>6.6182904081959202E-4</v>
          </cell>
          <cell r="G27">
            <v>1.41882124928065E-3</v>
          </cell>
          <cell r="H27">
            <v>0.77100488812201295</v>
          </cell>
          <cell r="I27">
            <v>1.09190032084246</v>
          </cell>
          <cell r="J27">
            <v>2.5209184309989601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4.7427167023839599E-7</v>
          </cell>
          <cell r="F28">
            <v>2.6849246748132202E-7</v>
          </cell>
          <cell r="G28">
            <v>3.7630986720416401E-7</v>
          </cell>
          <cell r="H28">
            <v>4.3782938347113601E-7</v>
          </cell>
          <cell r="I28">
            <v>1.7431797897578E-4</v>
          </cell>
          <cell r="J28">
            <v>2.5346911475102501E-5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2.1638173382916299E-5</v>
          </cell>
          <cell r="J29">
            <v>3.8853135968537601E-2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0.15291345028470399</v>
          </cell>
          <cell r="F30">
            <v>5.4748829464549502E-2</v>
          </cell>
          <cell r="G30">
            <v>1.5301408130209E-6</v>
          </cell>
          <cell r="H30">
            <v>1.87500333934386E-6</v>
          </cell>
          <cell r="I30">
            <v>0.12271790770940499</v>
          </cell>
          <cell r="J30">
            <v>6.1568785639863503E-2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1.01386133160892</v>
          </cell>
          <cell r="I31">
            <v>0.38430020074293503</v>
          </cell>
          <cell r="J31">
            <v>3.0338579457641401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3.2468985590320402E-2</v>
          </cell>
          <cell r="F32">
            <v>2.6805888644377699E-7</v>
          </cell>
          <cell r="G32">
            <v>3.0693577848207499E-7</v>
          </cell>
          <cell r="H32">
            <v>7.3858497184584405E-7</v>
          </cell>
          <cell r="I32">
            <v>1.04867543259133E-6</v>
          </cell>
          <cell r="J32">
            <v>2.87303322946375E-5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1.7288079234559601E-6</v>
          </cell>
          <cell r="F33">
            <v>8.3408147524758097E-7</v>
          </cell>
          <cell r="G33">
            <v>1.3811491944818501E-6</v>
          </cell>
          <cell r="H33">
            <v>2.9935470824506301E-6</v>
          </cell>
          <cell r="I33">
            <v>7.2853859556788797E-6</v>
          </cell>
          <cell r="J33">
            <v>1.82997558410783E-5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1.86066337822903E-6</v>
          </cell>
          <cell r="I34">
            <v>0.605776905938883</v>
          </cell>
          <cell r="J34">
            <v>1.8330875623971501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1.8121879053248299E-3</v>
          </cell>
          <cell r="J35">
            <v>3.1552923185536597E-2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4.2442438810989997E-5</v>
          </cell>
          <cell r="J36">
            <v>0.349267817797904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8.45238593041717E-7</v>
          </cell>
          <cell r="I37">
            <v>2.4667497917121539E-6</v>
          </cell>
          <cell r="J37">
            <v>6.7963228164178631E-5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2.9450278688263599E-5</v>
          </cell>
          <cell r="J38">
            <v>3.0934805836936187E-5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0.354951605211342</v>
          </cell>
          <cell r="I39">
            <v>1.1709668864324587</v>
          </cell>
          <cell r="J39">
            <v>1.2257944629098707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9.857268508441591E-7</v>
          </cell>
          <cell r="I40">
            <v>7.165366208787953E-2</v>
          </cell>
          <cell r="J40">
            <v>1.226245612888863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1.0275137541326178</v>
          </cell>
          <cell r="F41">
            <v>1.0275142442033625</v>
          </cell>
          <cell r="G41">
            <v>1.0275149136480981</v>
          </cell>
          <cell r="H41">
            <v>1.0275159070237425</v>
          </cell>
          <cell r="I41">
            <v>1.0275199937131558</v>
          </cell>
          <cell r="J41">
            <v>0.7246884166072538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2.3762486168846398E-3</v>
          </cell>
          <cell r="J42">
            <v>3.5601412559918802E-3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0.21266983233307518</v>
          </cell>
          <cell r="F43">
            <v>0.21560668817707482</v>
          </cell>
          <cell r="G43">
            <v>0.21559942893170744</v>
          </cell>
          <cell r="H43">
            <v>0.26146589181293189</v>
          </cell>
          <cell r="I43">
            <v>0.31761300522074104</v>
          </cell>
          <cell r="J43">
            <v>0.37186907134274516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3.2509710966195197E-7</v>
          </cell>
          <cell r="F44">
            <v>6.6996089551391296E-7</v>
          </cell>
          <cell r="G44">
            <v>1.08655413424316E-6</v>
          </cell>
          <cell r="H44">
            <v>1.60063777462736E-6</v>
          </cell>
          <cell r="I44">
            <v>4.3107343750002896E-6</v>
          </cell>
          <cell r="J44">
            <v>3.2400451504095902E-4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4.2401788049755591E-2</v>
          </cell>
          <cell r="F45">
            <v>0.11491757010022186</v>
          </cell>
          <cell r="G45">
            <v>0.11491718138740384</v>
          </cell>
          <cell r="H45">
            <v>0.21574271298742392</v>
          </cell>
          <cell r="I45">
            <v>0.17767820602550627</v>
          </cell>
          <cell r="J45">
            <v>0.34089132818474388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H46">
            <v>5.8001966506766197E-5</v>
          </cell>
          <cell r="I46">
            <v>0.21039867566547699</v>
          </cell>
          <cell r="J46">
            <v>5.5166201916630186E-3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0.95961794249410881</v>
          </cell>
          <cell r="F47">
            <v>0.95961807407538302</v>
          </cell>
          <cell r="G47">
            <v>0.95961822773311345</v>
          </cell>
          <cell r="H47">
            <v>0.95961833338826752</v>
          </cell>
          <cell r="I47">
            <v>0.95961869686166901</v>
          </cell>
          <cell r="J47">
            <v>0.48125493715435136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1.02410092454872</v>
          </cell>
          <cell r="I48">
            <v>1.44384458790017</v>
          </cell>
          <cell r="J48">
            <v>4.5083510161496703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1.74159695750421E-6</v>
          </cell>
          <cell r="I49">
            <v>0.23710760979024972</v>
          </cell>
          <cell r="J49">
            <v>0.35897982300524267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3.0114109291086999</v>
          </cell>
          <cell r="I50">
            <v>3.9991681886667001</v>
          </cell>
          <cell r="J50">
            <v>11.801968732131501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2.2350528220880146</v>
          </cell>
          <cell r="F51">
            <v>2.2350529890784161</v>
          </cell>
          <cell r="G51">
            <v>2.2350532663656311</v>
          </cell>
          <cell r="H51">
            <v>2.2350535428761087</v>
          </cell>
          <cell r="I51">
            <v>2.2350547657949869</v>
          </cell>
          <cell r="J51">
            <v>1.1208942845997814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5.02989305761165E-2</v>
          </cell>
          <cell r="F52">
            <v>0.13278504929015764</v>
          </cell>
          <cell r="G52">
            <v>0.13278732715891586</v>
          </cell>
          <cell r="H52">
            <v>0.2215337445212614</v>
          </cell>
          <cell r="I52">
            <v>0.24274975547639144</v>
          </cell>
          <cell r="J52">
            <v>0.34965180913044008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3.0972403106815163</v>
          </cell>
          <cell r="F53">
            <v>3.0972404190428739</v>
          </cell>
          <cell r="G53">
            <v>3.0972406106904828</v>
          </cell>
          <cell r="H53">
            <v>3.097240706321343</v>
          </cell>
          <cell r="I53">
            <v>3.0972410665599255</v>
          </cell>
          <cell r="J53">
            <v>1.553284035678304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1.0837268426105301E-5</v>
          </cell>
          <cell r="J54">
            <v>2.0040212646848875E-5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1.1394321850577501E-6</v>
          </cell>
          <cell r="F55">
            <v>3.9561045134490495E-5</v>
          </cell>
          <cell r="G55">
            <v>4.1253038640448405E-5</v>
          </cell>
          <cell r="H55">
            <v>4.2728967967106407E-5</v>
          </cell>
          <cell r="I55">
            <v>4.5475978313210269E-5</v>
          </cell>
          <cell r="J55">
            <v>4.0803320416919796E-4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5.9510118270939797E-4</v>
          </cell>
          <cell r="J56">
            <v>6.149764444776289E-4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0.62088335052750598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2.91995617227041E-5</v>
          </cell>
          <cell r="J58">
            <v>4.4001391347823597E-2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6.2147908571071702E-7</v>
          </cell>
          <cell r="J59">
            <v>5.9875002997970787E-5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3.3809320624749898E-4</v>
          </cell>
          <cell r="F60">
            <v>9.996740376913703E-4</v>
          </cell>
          <cell r="G60">
            <v>2.4179261271651286E-3</v>
          </cell>
          <cell r="H60">
            <v>0.77342195515631318</v>
          </cell>
          <cell r="I60">
            <v>1.9187870146543435</v>
          </cell>
          <cell r="J60">
            <v>3.8563416205853787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1.8857587909455034E-2</v>
          </cell>
          <cell r="F61">
            <v>1.8848452176198412E-2</v>
          </cell>
          <cell r="G61">
            <v>2.2342863840922184E-3</v>
          </cell>
          <cell r="H61">
            <v>2.2268739527852924E-3</v>
          </cell>
          <cell r="I61">
            <v>1.3209353972306298E-3</v>
          </cell>
          <cell r="J61">
            <v>1.1123705788236705E-3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2.1638173382916299E-5</v>
          </cell>
          <cell r="J62">
            <v>3.8874774141920497E-2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0.3552123760507519</v>
          </cell>
          <cell r="F63">
            <v>0.40996067461849567</v>
          </cell>
          <cell r="G63">
            <v>0.16459727509249902</v>
          </cell>
          <cell r="H63">
            <v>0.16457389562188901</v>
          </cell>
          <cell r="I63">
            <v>0.18954319770168079</v>
          </cell>
          <cell r="J63">
            <v>0.18429910891125356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1.01386133160892</v>
          </cell>
          <cell r="I64">
            <v>1.42941832417471</v>
          </cell>
          <cell r="J64">
            <v>4.4632762699388397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3.4506292026074095E-2</v>
          </cell>
          <cell r="F65">
            <v>1.5367142632067635E-3</v>
          </cell>
          <cell r="G65">
            <v>1.5365554058462544E-3</v>
          </cell>
          <cell r="H65">
            <v>1.5355633558981618E-3</v>
          </cell>
          <cell r="I65">
            <v>4.0088745949398361E-5</v>
          </cell>
          <cell r="J65">
            <v>3.0182440131502536E-5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1.9844850990740235</v>
          </cell>
          <cell r="F66">
            <v>1.9844859331554987</v>
          </cell>
          <cell r="G66">
            <v>1.9844873143046933</v>
          </cell>
          <cell r="H66">
            <v>1.9844903078517757</v>
          </cell>
          <cell r="I66">
            <v>1.9845028436095267</v>
          </cell>
          <cell r="J66">
            <v>1.0954972105451877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1.86066337822903E-6</v>
          </cell>
          <cell r="I67">
            <v>0.60578194789185891</v>
          </cell>
          <cell r="J67">
            <v>2.4388658968882293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1.8121879053248299E-3</v>
          </cell>
          <cell r="J68">
            <v>3.2858692783673114E-2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4.2442438810989997E-5</v>
          </cell>
          <cell r="J69">
            <v>0.34931026023671502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33.428573131618485</v>
          </cell>
          <cell r="J70">
            <v>794.18996311057515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110.07164577845475</v>
          </cell>
          <cell r="J71">
            <v>248.57700933787584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309.28820824198959</v>
          </cell>
          <cell r="J72">
            <v>954.28530769989197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0.11258824210855271</v>
          </cell>
          <cell r="F73">
            <v>0.11414445718145896</v>
          </cell>
          <cell r="G73">
            <v>0.10596119536116957</v>
          </cell>
          <cell r="H73">
            <v>0.13842296597312698</v>
          </cell>
          <cell r="I73">
            <v>0.16814863489730686</v>
          </cell>
          <cell r="J73">
            <v>0.19687175057746376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1.066555806628149E-5</v>
          </cell>
          <cell r="G74">
            <v>7.6441885255360789E-6</v>
          </cell>
          <cell r="H74">
            <v>2.3598797979516832E-5</v>
          </cell>
          <cell r="I74">
            <v>1.8679032112176103E-5</v>
          </cell>
          <cell r="J74">
            <v>4.0468356554594848E-4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1.769042200759594E-5</v>
          </cell>
          <cell r="J75">
            <v>4.369819973031918E-2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1.4846978895731513</v>
          </cell>
          <cell r="F76">
            <v>5.0705157718041419E-2</v>
          </cell>
          <cell r="G76">
            <v>9.1503474925187803E-2</v>
          </cell>
          <cell r="H76">
            <v>20.874881559350278</v>
          </cell>
          <cell r="I76">
            <v>20.02208930073196</v>
          </cell>
          <cell r="J76">
            <v>36.368692184050403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6.0527278259905658E-3</v>
          </cell>
          <cell r="J77">
            <v>2.2235753982106275E-2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1026.0866293836525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2.7294503645321627E-2</v>
          </cell>
          <cell r="J79">
            <v>69.614864104172241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2.1902225635885873E-2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3.4954697179421256E-3</v>
          </cell>
          <cell r="J81">
            <v>8.6076005507660724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6.5705537765287283E-3</v>
          </cell>
          <cell r="J82">
            <v>0.25755334510381006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4.5892539191535214E-2</v>
          </cell>
          <cell r="J83">
            <v>638.45375885505416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8.799716058758318E-5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3.0107051734722421E-4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9.6793720144181492</v>
          </cell>
          <cell r="F86">
            <v>9.8131620474002759</v>
          </cell>
          <cell r="G86">
            <v>9.1096353383359769</v>
          </cell>
          <cell r="H86">
            <v>11.90042013180398</v>
          </cell>
          <cell r="I86">
            <v>14.457034119292485</v>
          </cell>
          <cell r="J86">
            <v>16.927242338213894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9.1713820175084299E-4</v>
          </cell>
          <cell r="J87">
            <v>1.0789514271586735E-3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9.6793720144181492</v>
          </cell>
          <cell r="F88">
            <v>9.8131620474002759</v>
          </cell>
          <cell r="G88">
            <v>9.1096353383359769</v>
          </cell>
          <cell r="H88">
            <v>11.90042013180398</v>
          </cell>
          <cell r="I88">
            <v>14.455978354457031</v>
          </cell>
          <cell r="J88">
            <v>16.925345642502513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2.2490813859953035E-4</v>
          </cell>
          <cell r="J89">
            <v>8.2623937210561291E-4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0.59270519736912131</v>
          </cell>
          <cell r="J90">
            <v>14.081382324655593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1.7161861713065603E-3</v>
          </cell>
          <cell r="I91">
            <v>2.1765475533505828E-3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5.5174028137465019</v>
          </cell>
          <cell r="F92">
            <v>0.52494424483184821</v>
          </cell>
          <cell r="G92">
            <v>2.749919498815649</v>
          </cell>
          <cell r="H92">
            <v>0.25353428739651673</v>
          </cell>
          <cell r="I92">
            <v>1.170039000208448</v>
          </cell>
          <cell r="J92">
            <v>2.891757621279009E-4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0.28624581614143807</v>
          </cell>
          <cell r="F93">
            <v>0.18898735147281864</v>
          </cell>
          <cell r="G93">
            <v>0.2810617309693399</v>
          </cell>
          <cell r="H93">
            <v>3.4809906187112903E-2</v>
          </cell>
          <cell r="I93">
            <v>5.3995706442250104E-3</v>
          </cell>
          <cell r="J93">
            <v>2.5734230977639478E-4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26.996471107019321</v>
          </cell>
          <cell r="F94">
            <v>27.093860971570358</v>
          </cell>
          <cell r="G94">
            <v>22.786061051895903</v>
          </cell>
          <cell r="H94">
            <v>17.447459360673097</v>
          </cell>
          <cell r="I94">
            <v>9.7622719182219964</v>
          </cell>
          <cell r="J94">
            <v>3.563662909976673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47.214637742106476</v>
          </cell>
          <cell r="F95">
            <v>46.650573302994736</v>
          </cell>
          <cell r="G95">
            <v>45.475843591882231</v>
          </cell>
          <cell r="H95">
            <v>34.5316409920894</v>
          </cell>
          <cell r="I95">
            <v>20.797765200317112</v>
          </cell>
          <cell r="J95">
            <v>9.319791577691559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37.268474120564626</v>
          </cell>
          <cell r="F96">
            <v>32.261379578457195</v>
          </cell>
          <cell r="G96">
            <v>30.788322686241013</v>
          </cell>
          <cell r="H96">
            <v>10.508565358683409</v>
          </cell>
          <cell r="I96">
            <v>6.9266339300973572</v>
          </cell>
          <cell r="J96">
            <v>1.1969938429577143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311.181518695303</v>
          </cell>
          <cell r="F97">
            <v>29.6068554085162</v>
          </cell>
          <cell r="G97">
            <v>155.095459733203</v>
          </cell>
          <cell r="H97">
            <v>14.299333809163601</v>
          </cell>
          <cell r="I97">
            <v>65.990199611756395</v>
          </cell>
          <cell r="J97">
            <v>1.6309512984013601E-2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689.12808049041701</v>
          </cell>
          <cell r="F98">
            <v>648.131593050623</v>
          </cell>
          <cell r="G98">
            <v>595.69414204339796</v>
          </cell>
          <cell r="H98">
            <v>563.93192234722301</v>
          </cell>
          <cell r="I98">
            <v>236.13693504332599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16.144264030377101</v>
          </cell>
          <cell r="F99">
            <v>10.658886623067</v>
          </cell>
          <cell r="G99">
            <v>15.851881626670799</v>
          </cell>
          <cell r="H99">
            <v>1.96327870895317</v>
          </cell>
          <cell r="I99">
            <v>0.30453578433429102</v>
          </cell>
          <cell r="J99">
            <v>1.45141062713887E-2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1522.6009704358901</v>
          </cell>
          <cell r="F100">
            <v>1528.09375879657</v>
          </cell>
          <cell r="G100">
            <v>1285.13384332693</v>
          </cell>
          <cell r="H100">
            <v>984.03670794196296</v>
          </cell>
          <cell r="I100">
            <v>550.59213618772105</v>
          </cell>
          <cell r="J100">
            <v>200.99058812268399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2662.9055686547999</v>
          </cell>
          <cell r="F101">
            <v>2631.0923342889</v>
          </cell>
          <cell r="G101">
            <v>2564.8375785821599</v>
          </cell>
          <cell r="H101">
            <v>1947.58455195384</v>
          </cell>
          <cell r="I101">
            <v>1172.9939572978899</v>
          </cell>
          <cell r="J101">
            <v>525.636244981804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-6.0527278259905597E-3</v>
          </cell>
          <cell r="J102">
            <v>-2.22357539821063E-2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2267.78876344947</v>
          </cell>
          <cell r="F103">
            <v>2030.7446045778699</v>
          </cell>
          <cell r="G103">
            <v>1881.80141301052</v>
          </cell>
          <cell r="H103">
            <v>1137.56264183346</v>
          </cell>
          <cell r="I103">
            <v>389.99008007304099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4514.48294827055</v>
          </cell>
          <cell r="F104">
            <v>3846.5261661988202</v>
          </cell>
          <cell r="G104">
            <v>3572.1612315819002</v>
          </cell>
          <cell r="H104">
            <v>1766.7426916162999</v>
          </cell>
          <cell r="I104">
            <v>423.03759514880397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5140.3513244178102</v>
          </cell>
          <cell r="F105">
            <v>5702.3238056241298</v>
          </cell>
          <cell r="G105">
            <v>4869.6324517656203</v>
          </cell>
          <cell r="H105">
            <v>2720.0967450724302</v>
          </cell>
          <cell r="I105">
            <v>740.98291381659203</v>
          </cell>
          <cell r="J105">
            <v>248.57700933787601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-1026.08662938365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-2.7294503645321599E-2</v>
          </cell>
          <cell r="J107">
            <v>-69.614864104172398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-2.19022256358859E-2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-3.49546971794212E-3</v>
          </cell>
          <cell r="J109">
            <v>-8.6076005507660796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2101.94194039984</v>
          </cell>
          <cell r="F110">
            <v>1819.5418082249901</v>
          </cell>
          <cell r="G110">
            <v>1736.4613995039899</v>
          </cell>
          <cell r="H110">
            <v>592.68308622974405</v>
          </cell>
          <cell r="I110">
            <v>390.66215365749099</v>
          </cell>
          <cell r="J110">
            <v>67.510452742815104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-6.57055377652873E-3</v>
          </cell>
          <cell r="J111">
            <v>-0.25755334510381001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-4.58925391915352E-2</v>
          </cell>
          <cell r="J112">
            <v>-638.45375885505405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5.7100137314924551</v>
          </cell>
          <cell r="F113">
            <v>0.52357730750964115</v>
          </cell>
          <cell r="G113">
            <v>2.7442308772834436</v>
          </cell>
          <cell r="H113">
            <v>0.26044999158870175</v>
          </cell>
          <cell r="I113">
            <v>1.1921586501171726</v>
          </cell>
          <cell r="J113">
            <v>2.0698129087859049E-2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9.1942854605091409</v>
          </cell>
          <cell r="F114">
            <v>8.6473139771654299</v>
          </cell>
          <cell r="G114">
            <v>7.9478624267604037</v>
          </cell>
          <cell r="H114">
            <v>7.5240845261774192</v>
          </cell>
          <cell r="I114">
            <v>3.4000122825606334</v>
          </cell>
          <cell r="J114">
            <v>0.24950130100090243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1.7106861189728271E-3</v>
          </cell>
          <cell r="J115">
            <v>2.7949615598004203E-3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1.6669973220587288E-3</v>
          </cell>
          <cell r="J116">
            <v>1.1533756487125265E-3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4.3688796914099237E-5</v>
          </cell>
          <cell r="J117">
            <v>1.6415859110878923E-3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2.9709293671112933</v>
          </cell>
          <cell r="F118">
            <v>2.9709295483569966</v>
          </cell>
          <cell r="G118">
            <v>2.9709309637533523</v>
          </cell>
          <cell r="H118">
            <v>2.4823560132201243</v>
          </cell>
          <cell r="I118">
            <v>2.9608210541842155</v>
          </cell>
          <cell r="J118">
            <v>6.5627780110944904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5.5211982072716017E-4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1.1578573761524107E-4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4.3633408311191869E-4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1.5977368375723404E-4</v>
          </cell>
          <cell r="I122">
            <v>6.6770574122006709E-4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7.6259187613478563</v>
          </cell>
          <cell r="I123">
            <v>10.751539721993518</v>
          </cell>
          <cell r="J123">
            <v>33.571229893376078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7.6259187613478563</v>
          </cell>
          <cell r="I124">
            <v>10.751539721993518</v>
          </cell>
          <cell r="J124">
            <v>33.571229893376078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1.1764715235639756</v>
          </cell>
          <cell r="F125">
            <v>3.2930256263465325</v>
          </cell>
          <cell r="G125">
            <v>2.7487522768695252</v>
          </cell>
          <cell r="H125">
            <v>6.6017058198596761</v>
          </cell>
          <cell r="I125">
            <v>5.4369218502880656</v>
          </cell>
          <cell r="J125">
            <v>10.431251608235913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0.21085223946068546</v>
          </cell>
          <cell r="F126">
            <v>3.0569300022806746E-4</v>
          </cell>
          <cell r="G126">
            <v>2.3698764535498434E-3</v>
          </cell>
          <cell r="H126">
            <v>1.9117375415968036E-4</v>
          </cell>
          <cell r="I126">
            <v>1.9901697849811009E-2</v>
          </cell>
          <cell r="J126">
            <v>1.9950815244630989E-2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5.5388363352141222E-4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2.3297897919774792E-2</v>
          </cell>
          <cell r="F128">
            <v>1.9880591167781222E-2</v>
          </cell>
          <cell r="G128">
            <v>2.977860871897435E-2</v>
          </cell>
          <cell r="H128">
            <v>9.0311376958102218E-3</v>
          </cell>
          <cell r="I128">
            <v>1.9808727810095694E-3</v>
          </cell>
          <cell r="J128">
            <v>2.5619115956319833E-4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0.30567504352149838</v>
          </cell>
          <cell r="F129">
            <v>1.4858300223765049</v>
          </cell>
          <cell r="G129">
            <v>1.1580587710950494</v>
          </cell>
          <cell r="H129">
            <v>2.327189482761844</v>
          </cell>
          <cell r="I129">
            <v>1.0778403188998869</v>
          </cell>
          <cell r="J129">
            <v>2.9264676047181148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0.31072626123956237</v>
          </cell>
          <cell r="F130">
            <v>1.786712198595876</v>
          </cell>
          <cell r="G130">
            <v>1.5580993546487676</v>
          </cell>
          <cell r="H130">
            <v>4.2648635907399814</v>
          </cell>
          <cell r="I130">
            <v>1.8740896685541271</v>
          </cell>
          <cell r="J130">
            <v>4.9843642003770015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0.3259307915564153</v>
          </cell>
          <cell r="F131">
            <v>3.8060215178050441E-4</v>
          </cell>
          <cell r="G131">
            <v>4.9050829101542201E-4</v>
          </cell>
          <cell r="H131">
            <v>4.9296753835347418E-4</v>
          </cell>
          <cell r="I131">
            <v>2.4632721419025159</v>
          </cell>
          <cell r="J131">
            <v>2.4998148395144533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9.3504488533299437</v>
          </cell>
          <cell r="F132">
            <v>8.7941871512974537</v>
          </cell>
          <cell r="G132">
            <v>8.0826884944830031</v>
          </cell>
          <cell r="H132">
            <v>7.6517221485376377</v>
          </cell>
          <cell r="I132">
            <v>3.2040289693802757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30.770539531200342</v>
          </cell>
          <cell r="F133">
            <v>27.554200876226215</v>
          </cell>
          <cell r="G133">
            <v>25.53326204898935</v>
          </cell>
          <cell r="H133">
            <v>15.435042630033356</v>
          </cell>
          <cell r="I133">
            <v>5.2915886034333948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61.254856828637017</v>
          </cell>
          <cell r="F134">
            <v>52.191671183159045</v>
          </cell>
          <cell r="G134">
            <v>48.468944797583319</v>
          </cell>
          <cell r="H134">
            <v>23.972085367928052</v>
          </cell>
          <cell r="I134">
            <v>5.7399945067680296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3.7980876829412948</v>
          </cell>
          <cell r="F135">
            <v>8.6892066078369901</v>
          </cell>
          <cell r="G135">
            <v>10.245838458506215</v>
          </cell>
          <cell r="H135">
            <v>17.106685580860646</v>
          </cell>
          <cell r="I135">
            <v>18.7449050572761</v>
          </cell>
          <cell r="J135">
            <v>26.999998174867684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0.30855947331698019</v>
          </cell>
          <cell r="F136">
            <v>0.21044534706003148</v>
          </cell>
          <cell r="G136">
            <v>0.31534931429534019</v>
          </cell>
          <cell r="H136">
            <v>4.4932833067394276E-2</v>
          </cell>
          <cell r="I136">
            <v>7.4441257104644167E-3</v>
          </cell>
          <cell r="J136">
            <v>5.2066564306597494E-4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9.0053249207733774</v>
          </cell>
          <cell r="F137">
            <v>9.3341155547052015</v>
          </cell>
          <cell r="G137">
            <v>2.3871705952124644</v>
          </cell>
          <cell r="H137">
            <v>3.5707077644201046</v>
          </cell>
          <cell r="I137">
            <v>11.824282793688775</v>
          </cell>
          <cell r="J137">
            <v>26.961920535176688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1.4914857151552128</v>
          </cell>
          <cell r="J138">
            <v>3.3682521590498076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69.652456970431075</v>
          </cell>
          <cell r="F139">
            <v>77.267260238809328</v>
          </cell>
          <cell r="G139">
            <v>65.984179563219811</v>
          </cell>
          <cell r="H139">
            <v>36.857679472526151</v>
          </cell>
          <cell r="I139">
            <v>10.040418886403691</v>
          </cell>
          <cell r="J139">
            <v>3.3682521590498076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0.43672663223574698</v>
          </cell>
          <cell r="F140">
            <v>0.55206543791269702</v>
          </cell>
          <cell r="G140">
            <v>2.8269147152373924</v>
          </cell>
          <cell r="H140">
            <v>2.8269202548216881</v>
          </cell>
          <cell r="I140">
            <v>6.0466041242177466</v>
          </cell>
          <cell r="J140">
            <v>6.04661235613138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27.215203926982579</v>
          </cell>
          <cell r="F141">
            <v>28.48868049719249</v>
          </cell>
          <cell r="G141">
            <v>23.875925191253689</v>
          </cell>
          <cell r="H141">
            <v>20.301488278369057</v>
          </cell>
          <cell r="I141">
            <v>10.836094381232114</v>
          </cell>
          <cell r="J141">
            <v>6.6507514631163849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4.8003370976902674E-4</v>
          </cell>
          <cell r="I142">
            <v>8.3677425981387417E-5</v>
          </cell>
          <cell r="J142">
            <v>4.8173721300912832E-5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1.7862344686521257</v>
          </cell>
          <cell r="I143">
            <v>3.1160589685817812</v>
          </cell>
          <cell r="J143">
            <v>3.8658219244647163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1.2030742817057325E-4</v>
          </cell>
          <cell r="I144">
            <v>3.3589871633575971E-5</v>
          </cell>
          <cell r="J144">
            <v>1.915970979853861E-5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4.4268133928179141E-4</v>
          </cell>
          <cell r="I145">
            <v>7.7885010570471287E-5</v>
          </cell>
          <cell r="J145">
            <v>4.5335093563812655E-5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1.7851914461749052</v>
          </cell>
          <cell r="I146">
            <v>3.1158638162735994</v>
          </cell>
          <cell r="J146">
            <v>3.8657092559400459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8.799716058758318E-5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4.7623571032012827E-4</v>
          </cell>
          <cell r="I148">
            <v>8.4167673770705565E-5</v>
          </cell>
          <cell r="J148">
            <v>4.7614795897533123E-5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1.7683717485948127</v>
          </cell>
          <cell r="I149">
            <v>3.0849032479402814</v>
          </cell>
          <cell r="J149">
            <v>3.8271634398873933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0.76199002252254033</v>
          </cell>
          <cell r="I150">
            <v>3.0846356988753305</v>
          </cell>
          <cell r="J150">
            <v>3.8270242771090768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4.3993006051842122E-4</v>
          </cell>
          <cell r="I151">
            <v>8.0939666902996537E-5</v>
          </cell>
          <cell r="J151">
            <v>4.6959488170682706E-5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1.0054655603014353</v>
          </cell>
          <cell r="I152">
            <v>1.0244172427942686E-4</v>
          </cell>
          <cell r="J152">
            <v>4.4588494246994555E-5</v>
          </cell>
        </row>
        <row r="153">
          <cell r="A153" t="str">
            <v>H2</v>
          </cell>
          <cell r="B153" t="str">
            <v>VAR_fout</v>
          </cell>
          <cell r="C153" t="str">
            <v>SUP_WODH2</v>
          </cell>
          <cell r="H153">
            <v>3.1325976703681306E-4</v>
          </cell>
          <cell r="I153">
            <v>4.4042618026425426</v>
          </cell>
          <cell r="J153">
            <v>2.8380902769320589E-2</v>
          </cell>
        </row>
        <row r="154">
          <cell r="A154" t="str">
            <v>H2</v>
          </cell>
          <cell r="B154" t="str">
            <v>VAR_fout</v>
          </cell>
          <cell r="C154" t="str">
            <v>SUP_ELCH2_SOEC</v>
          </cell>
          <cell r="I154">
            <v>1.1156059001469935E-2</v>
          </cell>
          <cell r="J154">
            <v>1.0380380838412747E-2</v>
          </cell>
        </row>
        <row r="155">
          <cell r="A155" t="str">
            <v>H2</v>
          </cell>
          <cell r="B155" t="str">
            <v>VAR_fout</v>
          </cell>
          <cell r="C155" t="str">
            <v>SUP_WODH2CCS</v>
          </cell>
          <cell r="J155">
            <v>5.9040698912948129</v>
          </cell>
        </row>
        <row r="156">
          <cell r="A156" t="str">
            <v>H2</v>
          </cell>
          <cell r="B156" t="str">
            <v>VAR_fout</v>
          </cell>
          <cell r="C156" t="str">
            <v>SUP_NGAH2CCS</v>
          </cell>
          <cell r="J156">
            <v>3.0107051734722421E-4</v>
          </cell>
        </row>
        <row r="157">
          <cell r="A157" t="str">
            <v>H2</v>
          </cell>
          <cell r="B157" t="str">
            <v>VAR_fout</v>
          </cell>
          <cell r="C157" t="str">
            <v>SUP_ELCH2</v>
          </cell>
          <cell r="E157">
            <v>2.907397355900598E-3</v>
          </cell>
          <cell r="F157">
            <v>1.7190969465676931E-2</v>
          </cell>
          <cell r="G157">
            <v>6.3177343626598284E-2</v>
          </cell>
          <cell r="H157">
            <v>15.191151038511899</v>
          </cell>
          <cell r="I157">
            <v>15.496127709738477</v>
          </cell>
          <cell r="J157">
            <v>28.716185095850225</v>
          </cell>
        </row>
        <row r="158">
          <cell r="A158" t="str">
            <v>H2</v>
          </cell>
          <cell r="B158" t="str">
            <v>VAR_fout</v>
          </cell>
          <cell r="C158" t="str">
            <v>D-DH2</v>
          </cell>
          <cell r="H158">
            <v>7.5496595737343659</v>
          </cell>
          <cell r="I158">
            <v>10.644024324773579</v>
          </cell>
          <cell r="J158">
            <v>33.235517594442321</v>
          </cell>
        </row>
        <row r="159">
          <cell r="A159" t="str">
            <v>H2</v>
          </cell>
          <cell r="B159" t="str">
            <v>VAR_fin</v>
          </cell>
          <cell r="C159" t="str">
            <v>STG-H2</v>
          </cell>
          <cell r="H159">
            <v>4.8003370976902674E-4</v>
          </cell>
          <cell r="I159">
            <v>8.3677425981387417E-5</v>
          </cell>
          <cell r="J159">
            <v>4.8173721300912832E-5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1.7862344686521257</v>
          </cell>
          <cell r="I160">
            <v>3.1160589685817812</v>
          </cell>
          <cell r="J160">
            <v>3.8658219244647163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1.2030742817057325E-4</v>
          </cell>
          <cell r="I161">
            <v>3.3589871633575971E-5</v>
          </cell>
          <cell r="J161">
            <v>1.915970979853861E-5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4.4268133928179141E-4</v>
          </cell>
          <cell r="I162">
            <v>7.7885010570471287E-5</v>
          </cell>
          <cell r="J162">
            <v>4.5335093563812655E-5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1.7851914461749052</v>
          </cell>
          <cell r="I163">
            <v>3.1158638162735994</v>
          </cell>
          <cell r="J163">
            <v>3.8657092559400459</v>
          </cell>
        </row>
        <row r="164">
          <cell r="A164" t="str">
            <v>H2</v>
          </cell>
          <cell r="B164" t="str">
            <v>VAR_fin</v>
          </cell>
          <cell r="C164" t="str">
            <v>SUP_H2NGA</v>
          </cell>
          <cell r="I164">
            <v>0.76974700957028863</v>
          </cell>
          <cell r="J164">
            <v>18.287509512539749</v>
          </cell>
        </row>
        <row r="165">
          <cell r="A165" t="str">
            <v>H2</v>
          </cell>
          <cell r="B165" t="str">
            <v>VAR_fin</v>
          </cell>
          <cell r="C165" t="str">
            <v>D-ENGA</v>
          </cell>
          <cell r="G165">
            <v>7.1885421982130363E-4</v>
          </cell>
          <cell r="H165">
            <v>7.5957965539458052E-3</v>
          </cell>
          <cell r="I165">
            <v>6.047478019349805E-3</v>
          </cell>
          <cell r="J165">
            <v>5.6710719600048436E-4</v>
          </cell>
        </row>
        <row r="166">
          <cell r="A166" t="str">
            <v>H2</v>
          </cell>
          <cell r="B166" t="str">
            <v>VAR_fin</v>
          </cell>
          <cell r="C166" t="str">
            <v>D-TNGA</v>
          </cell>
          <cell r="F166">
            <v>2.2486999921721806E-3</v>
          </cell>
          <cell r="G166">
            <v>5.5149919613951773E-3</v>
          </cell>
          <cell r="H166">
            <v>1.2353824795667189E-3</v>
          </cell>
          <cell r="I166">
            <v>8.8061984885188428E-5</v>
          </cell>
          <cell r="J166">
            <v>8.3727597607543864E-6</v>
          </cell>
        </row>
        <row r="167">
          <cell r="A167" t="str">
            <v>H2</v>
          </cell>
          <cell r="B167" t="str">
            <v>VAR_fin</v>
          </cell>
          <cell r="C167" t="str">
            <v>SUP_H2GSL</v>
          </cell>
          <cell r="I167">
            <v>2.1306938787931626</v>
          </cell>
          <cell r="J167">
            <v>4.8117887986425849</v>
          </cell>
        </row>
        <row r="168">
          <cell r="A168" t="str">
            <v>H2</v>
          </cell>
          <cell r="B168" t="str">
            <v>VAR_fin</v>
          </cell>
          <cell r="C168" t="str">
            <v>D-SNGA</v>
          </cell>
          <cell r="G168">
            <v>8.0798665618129744E-3</v>
          </cell>
          <cell r="H168">
            <v>0.59176061619126319</v>
          </cell>
          <cell r="I168">
            <v>3.0855174678974348E-2</v>
          </cell>
          <cell r="J168">
            <v>0.18202972854349139</v>
          </cell>
        </row>
        <row r="169">
          <cell r="A169" t="str">
            <v>H2</v>
          </cell>
          <cell r="B169" t="str">
            <v>VAR_fin</v>
          </cell>
          <cell r="C169" t="str">
            <v>D-RNGA</v>
          </cell>
          <cell r="G169">
            <v>1.5389343243763367E-2</v>
          </cell>
          <cell r="H169">
            <v>1.1746244134774368</v>
          </cell>
          <cell r="I169">
            <v>7.6019713527066421E-2</v>
          </cell>
          <cell r="J169">
            <v>0.39769300245378325</v>
          </cell>
        </row>
        <row r="170">
          <cell r="A170" t="str">
            <v>H2</v>
          </cell>
          <cell r="B170" t="str">
            <v>VAR_fin</v>
          </cell>
          <cell r="C170" t="str">
            <v>D-INGA</v>
          </cell>
          <cell r="G170">
            <v>1.8154853822327538E-2</v>
          </cell>
          <cell r="H170">
            <v>0.2149150247591389</v>
          </cell>
          <cell r="I170">
            <v>2.7262863211251587E-2</v>
          </cell>
          <cell r="J170">
            <v>0.10202260661020193</v>
          </cell>
        </row>
        <row r="171">
          <cell r="A171" t="str">
            <v>H2</v>
          </cell>
          <cell r="B171" t="str">
            <v>VAR_fin</v>
          </cell>
          <cell r="C171" t="str">
            <v>SUP_H2DSL</v>
          </cell>
          <cell r="I171">
            <v>7.274973143952332</v>
          </cell>
          <cell r="J171">
            <v>22.446377844942599</v>
          </cell>
        </row>
        <row r="172">
          <cell r="A172" t="str">
            <v>AUX_H2STG_OUT</v>
          </cell>
          <cell r="B172" t="str">
            <v>VAR_fout</v>
          </cell>
          <cell r="C172" t="str">
            <v>STG-H2</v>
          </cell>
          <cell r="H172">
            <v>4.7623571032012827E-4</v>
          </cell>
          <cell r="I172">
            <v>8.4167673770705565E-5</v>
          </cell>
          <cell r="J172">
            <v>4.7614795897533123E-5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1.7683717485948127</v>
          </cell>
          <cell r="I173">
            <v>3.0849032479402814</v>
          </cell>
          <cell r="J173">
            <v>3.8271634398873933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0.76199002252254033</v>
          </cell>
          <cell r="I174">
            <v>3.0846356988753305</v>
          </cell>
          <cell r="J174">
            <v>3.8270242771090768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4.3993006051842122E-4</v>
          </cell>
          <cell r="I175">
            <v>8.0939666902996537E-5</v>
          </cell>
          <cell r="J175">
            <v>4.6959488170682706E-5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1.0054655603014353</v>
          </cell>
          <cell r="I176">
            <v>1.0244172427942686E-4</v>
          </cell>
          <cell r="J176">
            <v>4.4588494246994555E-5</v>
          </cell>
        </row>
        <row r="177">
          <cell r="A177" t="str">
            <v>RNGA</v>
          </cell>
          <cell r="B177" t="str">
            <v>VAR_fout</v>
          </cell>
          <cell r="C177" t="str">
            <v>D-RNGA</v>
          </cell>
          <cell r="E177">
            <v>47.374022024620885</v>
          </cell>
          <cell r="F177">
            <v>48.283039557648536</v>
          </cell>
          <cell r="G177">
            <v>46.899506208570372</v>
          </cell>
          <cell r="H177">
            <v>39.843843074756485</v>
          </cell>
          <cell r="I177">
            <v>22.675435192963036</v>
          </cell>
          <cell r="J177">
            <v>14.655031529733787</v>
          </cell>
        </row>
        <row r="178">
          <cell r="A178" t="str">
            <v>CWOD</v>
          </cell>
          <cell r="B178" t="str">
            <v>VAR_fout</v>
          </cell>
          <cell r="C178" t="str">
            <v>D-CWOD</v>
          </cell>
          <cell r="E178">
            <v>9.0053249207733774</v>
          </cell>
          <cell r="F178">
            <v>9.3341155547052015</v>
          </cell>
          <cell r="G178">
            <v>2.3871705952124644</v>
          </cell>
          <cell r="H178">
            <v>3.5707077644201046</v>
          </cell>
          <cell r="I178">
            <v>11.824282793688775</v>
          </cell>
          <cell r="J178">
            <v>26.961920535176688</v>
          </cell>
        </row>
        <row r="179">
          <cell r="A179" t="str">
            <v>CWOD</v>
          </cell>
          <cell r="B179" t="str">
            <v>VAR_fin</v>
          </cell>
          <cell r="C179" t="str">
            <v>SUP_WODH2</v>
          </cell>
          <cell r="H179">
            <v>5.2209961172802191E-4</v>
          </cell>
          <cell r="I179">
            <v>7.3404363377375752</v>
          </cell>
          <cell r="J179">
            <v>4.7301504615534326E-2</v>
          </cell>
        </row>
        <row r="180">
          <cell r="A180" t="str">
            <v>CWOD</v>
          </cell>
          <cell r="B180" t="str">
            <v>VAR_fin</v>
          </cell>
          <cell r="C180" t="str">
            <v>SUP_WODBIO</v>
          </cell>
          <cell r="F180">
            <v>3.5996258473700005E-4</v>
          </cell>
          <cell r="G180">
            <v>2.5799136273684247E-4</v>
          </cell>
          <cell r="H180">
            <v>7.9645943180869157E-4</v>
          </cell>
          <cell r="I180">
            <v>6.3041733378594298E-4</v>
          </cell>
          <cell r="J180">
            <v>1.3658314553391235E-2</v>
          </cell>
        </row>
        <row r="181">
          <cell r="A181" t="str">
            <v>CWOD</v>
          </cell>
          <cell r="B181" t="str">
            <v>VAR_fin</v>
          </cell>
          <cell r="C181" t="str">
            <v>SUP_WODH2CCS</v>
          </cell>
          <cell r="J181">
            <v>10.179430847060022</v>
          </cell>
        </row>
        <row r="182">
          <cell r="A182" t="str">
            <v>CWOD</v>
          </cell>
          <cell r="B182" t="str">
            <v>VAR_fin</v>
          </cell>
          <cell r="C182" t="str">
            <v>SUP_WODBIOCCS</v>
          </cell>
          <cell r="I182">
            <v>6.3683967256540619E-4</v>
          </cell>
          <cell r="J182">
            <v>1.6356854688540667</v>
          </cell>
        </row>
        <row r="183">
          <cell r="A183" t="str">
            <v>CWOD</v>
          </cell>
          <cell r="B183" t="str">
            <v>VAR_fin</v>
          </cell>
          <cell r="C183" t="str">
            <v>CT_CWODBDS</v>
          </cell>
          <cell r="E183">
            <v>3.9717127841161071E-5</v>
          </cell>
          <cell r="F183">
            <v>1.0356950224765213</v>
          </cell>
          <cell r="G183">
            <v>1.6073241393861377E-3</v>
          </cell>
          <cell r="H183">
            <v>0.12232001697206127</v>
          </cell>
          <cell r="I183">
            <v>7.2562730294555247E-2</v>
          </cell>
          <cell r="J183">
            <v>6.1082099984938812E-2</v>
          </cell>
        </row>
        <row r="184">
          <cell r="A184" t="str">
            <v>CWOD</v>
          </cell>
          <cell r="B184" t="str">
            <v>VAR_fin</v>
          </cell>
          <cell r="C184" t="str">
            <v>CT_CWODETHCCS</v>
          </cell>
          <cell r="I184">
            <v>2.2292536466467618E-4</v>
          </cell>
          <cell r="J184">
            <v>0.54895411675804062</v>
          </cell>
        </row>
        <row r="185">
          <cell r="A185" t="str">
            <v>CWOD</v>
          </cell>
          <cell r="B185" t="str">
            <v>VAR_fin</v>
          </cell>
          <cell r="C185" t="str">
            <v>CT_CWODPLT</v>
          </cell>
          <cell r="E185">
            <v>7.1186110737386068</v>
          </cell>
          <cell r="F185">
            <v>8.2972023676164923</v>
          </cell>
          <cell r="G185">
            <v>2.3825428182190933</v>
          </cell>
          <cell r="H185">
            <v>3.3679267491529732</v>
          </cell>
          <cell r="I185">
            <v>4.408728640685899</v>
          </cell>
          <cell r="J185">
            <v>4.2959869683572567</v>
          </cell>
        </row>
        <row r="186">
          <cell r="A186" t="str">
            <v>CWOD</v>
          </cell>
          <cell r="B186" t="str">
            <v>VAR_fin</v>
          </cell>
          <cell r="C186" t="str">
            <v>CT_CWODETH</v>
          </cell>
          <cell r="E186">
            <v>1.8866741299069176</v>
          </cell>
          <cell r="F186">
            <v>8.5820202745058301E-4</v>
          </cell>
          <cell r="G186">
            <v>2.7623928264874421E-3</v>
          </cell>
          <cell r="H186">
            <v>7.9142439251535704E-2</v>
          </cell>
          <cell r="I186">
            <v>3.3319757436256118E-4</v>
          </cell>
          <cell r="J186">
            <v>3.926618197412865E-4</v>
          </cell>
        </row>
        <row r="187">
          <cell r="A187" t="str">
            <v>CWOD</v>
          </cell>
          <cell r="B187" t="str">
            <v>VAR_fin</v>
          </cell>
          <cell r="C187" t="str">
            <v>CT_CWODBDSCCS</v>
          </cell>
          <cell r="I187">
            <v>7.3170502537524317E-4</v>
          </cell>
          <cell r="J187">
            <v>10.179428553173704</v>
          </cell>
        </row>
        <row r="188">
          <cell r="A188" t="str">
            <v>KER</v>
          </cell>
          <cell r="B188" t="str">
            <v>VAR_fout</v>
          </cell>
          <cell r="C188" t="str">
            <v>SUP_H2DSL</v>
          </cell>
          <cell r="I188">
            <v>0.53932351829699865</v>
          </cell>
        </row>
        <row r="189">
          <cell r="A189" t="str">
            <v>BDS</v>
          </cell>
          <cell r="B189" t="str">
            <v>VAR_fout</v>
          </cell>
          <cell r="C189" t="str">
            <v>IMPBDS1</v>
          </cell>
          <cell r="F189">
            <v>0.98027485262796354</v>
          </cell>
          <cell r="G189">
            <v>0.69154457341747133</v>
          </cell>
          <cell r="H189">
            <v>1.3187677290059445E-4</v>
          </cell>
          <cell r="I189">
            <v>2.5093010628935737E-4</v>
          </cell>
        </row>
        <row r="190">
          <cell r="A190" t="str">
            <v>BDS</v>
          </cell>
          <cell r="B190" t="str">
            <v>VAR_fout</v>
          </cell>
          <cell r="C190" t="str">
            <v>IMPBDS</v>
          </cell>
          <cell r="E190">
            <v>3.0152277362664539</v>
          </cell>
          <cell r="F190">
            <v>1.6715014777125807</v>
          </cell>
          <cell r="G190">
            <v>2.323748366988144</v>
          </cell>
          <cell r="H190">
            <v>2.973398179807814</v>
          </cell>
          <cell r="I190">
            <v>3.2439868902859943</v>
          </cell>
          <cell r="J190">
            <v>5.6459440231617704</v>
          </cell>
        </row>
        <row r="191">
          <cell r="A191" t="str">
            <v>BDS</v>
          </cell>
          <cell r="B191" t="str">
            <v>VAR_fout</v>
          </cell>
          <cell r="C191" t="str">
            <v>CT_CWODBDS</v>
          </cell>
          <cell r="E191">
            <v>1.3938279642449927E-5</v>
          </cell>
          <cell r="F191">
            <v>0.36346552815459621</v>
          </cell>
          <cell r="G191">
            <v>5.6407234230080206E-4</v>
          </cell>
          <cell r="H191">
            <v>4.2926835224446847E-2</v>
          </cell>
          <cell r="I191">
            <v>2.5465074677857601E-2</v>
          </cell>
          <cell r="J191">
            <v>2.1436076499364399E-2</v>
          </cell>
        </row>
        <row r="192">
          <cell r="A192" t="str">
            <v>BDS</v>
          </cell>
          <cell r="B192" t="str">
            <v>VAR_fout</v>
          </cell>
          <cell r="C192" t="str">
            <v>CT_CWODBDSCCS</v>
          </cell>
          <cell r="I192">
            <v>2.5678365515888511E-4</v>
          </cell>
          <cell r="J192">
            <v>3.5723560460339367</v>
          </cell>
        </row>
        <row r="193">
          <cell r="A193" t="str">
            <v>BDS</v>
          </cell>
          <cell r="B193" t="str">
            <v>VAR_fin</v>
          </cell>
          <cell r="C193" t="str">
            <v>D-ILFO</v>
          </cell>
          <cell r="G193">
            <v>1.6703941627519507E-4</v>
          </cell>
          <cell r="H193">
            <v>1.6807983908867356E-4</v>
          </cell>
          <cell r="I193">
            <v>0.25375364319288191</v>
          </cell>
          <cell r="J193">
            <v>0.25375303941518729</v>
          </cell>
        </row>
        <row r="194">
          <cell r="A194" t="str">
            <v>BDS</v>
          </cell>
          <cell r="B194" t="str">
            <v>VAR_fin</v>
          </cell>
          <cell r="C194" t="str">
            <v>D-SLFO</v>
          </cell>
          <cell r="G194">
            <v>2.2910565991251641E-4</v>
          </cell>
          <cell r="H194">
            <v>5.1173692631173667E-4</v>
          </cell>
          <cell r="I194">
            <v>4.8362481732432133E-4</v>
          </cell>
          <cell r="J194">
            <v>0.23849634143436102</v>
          </cell>
        </row>
        <row r="195">
          <cell r="A195" t="str">
            <v>BDS</v>
          </cell>
          <cell r="B195" t="str">
            <v>VAR_fin</v>
          </cell>
          <cell r="C195" t="str">
            <v>D-RLFO</v>
          </cell>
          <cell r="G195">
            <v>2.3289658056168246E-4</v>
          </cell>
          <cell r="H195">
            <v>5.1864490789575691E-4</v>
          </cell>
          <cell r="I195">
            <v>4.8666206588313712E-4</v>
          </cell>
          <cell r="J195">
            <v>0.37085019646725104</v>
          </cell>
        </row>
        <row r="196">
          <cell r="A196" t="str">
            <v>BDS</v>
          </cell>
          <cell r="B196" t="str">
            <v>VAR_fin</v>
          </cell>
          <cell r="C196" t="str">
            <v>D-TBDS1</v>
          </cell>
          <cell r="E196">
            <v>3.0152416745460977</v>
          </cell>
          <cell r="F196">
            <v>3.0152418584951386</v>
          </cell>
          <cell r="G196">
            <v>3.0152432950025596</v>
          </cell>
          <cell r="H196">
            <v>3.0152744910533946</v>
          </cell>
          <cell r="I196">
            <v>3.0152496433347964</v>
          </cell>
          <cell r="J196">
            <v>8.3766563774129281</v>
          </cell>
        </row>
        <row r="197">
          <cell r="A197" t="str">
            <v>BIO</v>
          </cell>
          <cell r="B197" t="str">
            <v>VAR_fout</v>
          </cell>
          <cell r="C197" t="str">
            <v>SUP_WSTHTGBIO</v>
          </cell>
          <cell r="I197">
            <v>6.4199674122559006E-4</v>
          </cell>
          <cell r="J197">
            <v>7.552659990110723E-4</v>
          </cell>
        </row>
        <row r="198">
          <cell r="A198" t="str">
            <v>BIO</v>
          </cell>
          <cell r="B198" t="str">
            <v>VAR_fout</v>
          </cell>
          <cell r="C198" t="str">
            <v>SUP_WSTBIO</v>
          </cell>
          <cell r="E198">
            <v>5.6294121054276411</v>
          </cell>
          <cell r="F198">
            <v>5.7072228590729432</v>
          </cell>
          <cell r="G198">
            <v>5.2980597680584767</v>
          </cell>
          <cell r="H198">
            <v>6.92114829865635</v>
          </cell>
          <cell r="I198">
            <v>8.4074317448653364</v>
          </cell>
          <cell r="J198">
            <v>9.84358752887319</v>
          </cell>
        </row>
        <row r="199">
          <cell r="A199" t="str">
            <v>BIO</v>
          </cell>
          <cell r="B199" t="str">
            <v>VAR_fout</v>
          </cell>
          <cell r="C199" t="str">
            <v>D-LBIO</v>
          </cell>
          <cell r="H199">
            <v>1.5977368375723404E-4</v>
          </cell>
          <cell r="I199">
            <v>6.6770574122006709E-4</v>
          </cell>
        </row>
        <row r="200">
          <cell r="A200" t="str">
            <v>BIO</v>
          </cell>
          <cell r="B200" t="str">
            <v>VAR_fout</v>
          </cell>
          <cell r="C200" t="str">
            <v>SUP_MNRBIO</v>
          </cell>
          <cell r="E200">
            <v>1.3280026863431129</v>
          </cell>
          <cell r="F200">
            <v>3.0381841286143341</v>
          </cell>
          <cell r="G200">
            <v>3.582460999477703</v>
          </cell>
          <cell r="H200">
            <v>5.9813585947065251</v>
          </cell>
          <cell r="I200">
            <v>6.5541626074392028</v>
          </cell>
          <cell r="J200">
            <v>9.4405588024012967</v>
          </cell>
        </row>
        <row r="201">
          <cell r="A201" t="str">
            <v>BIO</v>
          </cell>
          <cell r="B201" t="str">
            <v>VAR_fout</v>
          </cell>
          <cell r="C201" t="str">
            <v>SUP_WSTHTGBIOCCS</v>
          </cell>
          <cell r="I201">
            <v>1.4169212731770413E-4</v>
          </cell>
          <cell r="J201">
            <v>5.2053080442653629E-4</v>
          </cell>
        </row>
        <row r="202">
          <cell r="A202" t="str">
            <v>BIO</v>
          </cell>
          <cell r="B202" t="str">
            <v>VAR_fout</v>
          </cell>
          <cell r="C202" t="str">
            <v>SUP_WODBIO</v>
          </cell>
          <cell r="F202">
            <v>2.6663895165703684E-4</v>
          </cell>
          <cell r="G202">
            <v>1.9110471313840173E-4</v>
          </cell>
          <cell r="H202">
            <v>5.8996994948791947E-4</v>
          </cell>
          <cell r="I202">
            <v>4.6697580280440185E-4</v>
          </cell>
          <cell r="J202">
            <v>1.0117270039549053E-2</v>
          </cell>
        </row>
        <row r="203">
          <cell r="A203" t="str">
            <v>BIO</v>
          </cell>
          <cell r="B203" t="str">
            <v>VAR_fout</v>
          </cell>
          <cell r="C203" t="str">
            <v>SUP_WODBIOCCS</v>
          </cell>
          <cell r="I203">
            <v>4.2703861107103316E-4</v>
          </cell>
          <cell r="J203">
            <v>1.0924437479783786</v>
          </cell>
        </row>
        <row r="204">
          <cell r="A204" t="str">
            <v>BIO</v>
          </cell>
          <cell r="B204" t="str">
            <v>VAR_fin</v>
          </cell>
          <cell r="C204" t="str">
            <v>D-IBIO</v>
          </cell>
          <cell r="E204">
            <v>0.43672663223574698</v>
          </cell>
          <cell r="F204">
            <v>0.55206543791269702</v>
          </cell>
          <cell r="G204">
            <v>2.8269147152373924</v>
          </cell>
          <cell r="H204">
            <v>2.8269202548216881</v>
          </cell>
          <cell r="I204">
            <v>6.0466041242177466</v>
          </cell>
          <cell r="J204">
            <v>6.04661235613138</v>
          </cell>
        </row>
        <row r="205">
          <cell r="A205" t="str">
            <v>BIO</v>
          </cell>
          <cell r="B205" t="str">
            <v>VAR_fin</v>
          </cell>
          <cell r="C205" t="str">
            <v>D-EBIO</v>
          </cell>
          <cell r="E205">
            <v>1.1839518005241125</v>
          </cell>
          <cell r="F205">
            <v>1.7563069788636922E-3</v>
          </cell>
          <cell r="G205">
            <v>1.1331690898982313E-3</v>
          </cell>
          <cell r="H205">
            <v>4.4741827672536565E-4</v>
          </cell>
          <cell r="I205">
            <v>1.6956786736658411</v>
          </cell>
          <cell r="J205">
            <v>3.9133931603505928E-4</v>
          </cell>
        </row>
        <row r="206">
          <cell r="A206" t="str">
            <v>BIO</v>
          </cell>
          <cell r="B206" t="str">
            <v>VAR_fin</v>
          </cell>
          <cell r="C206" t="str">
            <v>D-CBIO</v>
          </cell>
          <cell r="E206">
            <v>1.2890711841623719</v>
          </cell>
          <cell r="F206">
            <v>3.6081999084619012</v>
          </cell>
          <cell r="G206">
            <v>3.0118343551394391</v>
          </cell>
          <cell r="H206">
            <v>7.2335526770065304</v>
          </cell>
          <cell r="I206">
            <v>5.957287658368041</v>
          </cell>
          <cell r="J206">
            <v>11.429622896599689</v>
          </cell>
        </row>
        <row r="207">
          <cell r="A207" t="str">
            <v>BIO</v>
          </cell>
          <cell r="B207" t="str">
            <v>VAR_fin</v>
          </cell>
          <cell r="C207" t="str">
            <v>D-SBIO</v>
          </cell>
          <cell r="E207">
            <v>4.0476743803534765</v>
          </cell>
          <cell r="F207">
            <v>4.5839552013394131</v>
          </cell>
          <cell r="G207">
            <v>3.043077327467596</v>
          </cell>
          <cell r="H207">
            <v>3.0325902990305615</v>
          </cell>
          <cell r="I207">
            <v>2.9501120867446224</v>
          </cell>
          <cell r="J207">
            <v>2.8715230456691416</v>
          </cell>
        </row>
        <row r="208">
          <cell r="A208" t="str">
            <v>EBIO</v>
          </cell>
          <cell r="B208" t="str">
            <v>VAR_fout</v>
          </cell>
          <cell r="C208" t="str">
            <v>D-EBIO</v>
          </cell>
          <cell r="E208">
            <v>1.1839518005241125</v>
          </cell>
          <cell r="F208">
            <v>1.7563069788636922E-3</v>
          </cell>
          <cell r="G208">
            <v>1.1331690898982313E-3</v>
          </cell>
          <cell r="H208">
            <v>4.4741827672536565E-4</v>
          </cell>
          <cell r="I208">
            <v>1.6956786736658411</v>
          </cell>
          <cell r="J208">
            <v>3.9133931603505928E-4</v>
          </cell>
        </row>
        <row r="209">
          <cell r="A209" t="str">
            <v>PLT</v>
          </cell>
          <cell r="B209" t="str">
            <v>VAR_fout</v>
          </cell>
          <cell r="C209" t="str">
            <v>CT_CWODPLT</v>
          </cell>
          <cell r="E209">
            <v>5.9796333019404271</v>
          </cell>
          <cell r="F209">
            <v>6.9696499887978565</v>
          </cell>
          <cell r="G209">
            <v>2.001335967304041</v>
          </cell>
          <cell r="H209">
            <v>2.829058469288495</v>
          </cell>
          <cell r="I209">
            <v>3.7033320581761582</v>
          </cell>
          <cell r="J209">
            <v>3.6086290534200924</v>
          </cell>
        </row>
        <row r="210">
          <cell r="A210" t="str">
            <v>SLFO</v>
          </cell>
          <cell r="B210" t="str">
            <v>VAR_fout</v>
          </cell>
          <cell r="C210" t="str">
            <v>D-SLFO</v>
          </cell>
          <cell r="E210">
            <v>30.256635661183736</v>
          </cell>
          <cell r="F210">
            <v>27.09401361005397</v>
          </cell>
          <cell r="G210">
            <v>25.107050513679713</v>
          </cell>
          <cell r="H210">
            <v>15.177759207098662</v>
          </cell>
          <cell r="I210">
            <v>5.20368454053476</v>
          </cell>
          <cell r="J210">
            <v>0.23451223253958195</v>
          </cell>
        </row>
        <row r="211">
          <cell r="A211" t="str">
            <v>ETH</v>
          </cell>
          <cell r="B211" t="str">
            <v>VAR_fout</v>
          </cell>
          <cell r="C211" t="str">
            <v>IMPETH</v>
          </cell>
          <cell r="E211">
            <v>3.1308581777543649</v>
          </cell>
          <cell r="F211">
            <v>4.4742824106926893</v>
          </cell>
          <cell r="G211">
            <v>3.8200905038220903</v>
          </cell>
          <cell r="H211">
            <v>2.9810357077382474</v>
          </cell>
          <cell r="I211">
            <v>1.2129504609279071</v>
          </cell>
          <cell r="J211">
            <v>0.50005329010641153</v>
          </cell>
        </row>
        <row r="212">
          <cell r="A212" t="str">
            <v>ETH</v>
          </cell>
          <cell r="B212" t="str">
            <v>VAR_fout</v>
          </cell>
          <cell r="C212" t="str">
            <v>CT_CWODETHCCS</v>
          </cell>
          <cell r="I212">
            <v>1.0666285390654355E-4</v>
          </cell>
          <cell r="J212">
            <v>0.26265747213303353</v>
          </cell>
        </row>
        <row r="213">
          <cell r="A213" t="str">
            <v>ETH</v>
          </cell>
          <cell r="B213" t="str">
            <v>VAR_fout</v>
          </cell>
          <cell r="C213" t="str">
            <v>CT_CWODETH</v>
          </cell>
          <cell r="E213">
            <v>0.9027148946923057</v>
          </cell>
          <cell r="F213">
            <v>4.106229796414272E-4</v>
          </cell>
          <cell r="G213">
            <v>1.3217190557356178E-3</v>
          </cell>
          <cell r="H213">
            <v>3.7867195814131907E-2</v>
          </cell>
          <cell r="I213">
            <v>1.594246767284983E-4</v>
          </cell>
          <cell r="J213">
            <v>1.878764687757352E-4</v>
          </cell>
        </row>
        <row r="214">
          <cell r="A214" t="str">
            <v>ETH</v>
          </cell>
          <cell r="B214" t="str">
            <v>VAR_fin</v>
          </cell>
          <cell r="C214" t="str">
            <v>D-TGSL</v>
          </cell>
          <cell r="E214">
            <v>4.0335730724466696</v>
          </cell>
          <cell r="F214">
            <v>4.4746930336723336</v>
          </cell>
          <cell r="G214">
            <v>3.8214122908479724</v>
          </cell>
          <cell r="H214">
            <v>3.0189029035523767</v>
          </cell>
          <cell r="I214">
            <v>1.2132165484585404</v>
          </cell>
          <cell r="J214">
            <v>0.76289863870822106</v>
          </cell>
        </row>
        <row r="215">
          <cell r="A215" t="str">
            <v>TGSL</v>
          </cell>
          <cell r="B215" t="str">
            <v>VAR_fout</v>
          </cell>
          <cell r="C215" t="str">
            <v>D-TGSL</v>
          </cell>
          <cell r="E215">
            <v>72.603132407045422</v>
          </cell>
          <cell r="F215">
            <v>80.540664966370244</v>
          </cell>
          <cell r="G215">
            <v>68.779721565454281</v>
          </cell>
          <cell r="H215">
            <v>39.290551969400767</v>
          </cell>
          <cell r="I215">
            <v>11.08825082992044</v>
          </cell>
          <cell r="J215">
            <v>4.0704381000053749</v>
          </cell>
        </row>
        <row r="216">
          <cell r="A216" t="str">
            <v>RLFO</v>
          </cell>
          <cell r="B216" t="str">
            <v>VAR_fout</v>
          </cell>
          <cell r="C216" t="str">
            <v>D-RLFO</v>
          </cell>
          <cell r="E216">
            <v>60.231829333469712</v>
          </cell>
          <cell r="F216">
            <v>51.320009450466152</v>
          </cell>
          <cell r="G216">
            <v>47.659685719748715</v>
          </cell>
          <cell r="H216">
            <v>23.572233306948519</v>
          </cell>
          <cell r="I216">
            <v>5.6446080628064275</v>
          </cell>
          <cell r="J216">
            <v>0.3646580856757563</v>
          </cell>
        </row>
        <row r="217">
          <cell r="A217" t="str">
            <v>CELC_E</v>
          </cell>
          <cell r="B217" t="str">
            <v>VAR_fout</v>
          </cell>
          <cell r="C217" t="str">
            <v>ESOL-PV_E</v>
          </cell>
          <cell r="H217">
            <v>10.44646405664089</v>
          </cell>
          <cell r="I217">
            <v>13.872954479991629</v>
          </cell>
          <cell r="J217">
            <v>40.940524260214737</v>
          </cell>
        </row>
        <row r="218">
          <cell r="A218" t="str">
            <v>CELC_E</v>
          </cell>
          <cell r="B218" t="str">
            <v>VAR_fin</v>
          </cell>
          <cell r="C218" t="str">
            <v>SUP_ELCH2_D</v>
          </cell>
          <cell r="H218">
            <v>10.44646405664089</v>
          </cell>
          <cell r="I218">
            <v>13.872954479991629</v>
          </cell>
          <cell r="J218">
            <v>40.940524260214737</v>
          </cell>
        </row>
        <row r="219">
          <cell r="A219" t="str">
            <v>CBIO</v>
          </cell>
          <cell r="B219" t="str">
            <v>VAR_fout</v>
          </cell>
          <cell r="C219" t="str">
            <v>D-CBIO</v>
          </cell>
          <cell r="E219">
            <v>1.2890711841623719</v>
          </cell>
          <cell r="F219">
            <v>3.6081999084619012</v>
          </cell>
          <cell r="G219">
            <v>3.0118343551394391</v>
          </cell>
          <cell r="H219">
            <v>7.2335526770065304</v>
          </cell>
          <cell r="I219">
            <v>5.957287658368041</v>
          </cell>
          <cell r="J219">
            <v>11.429622896599689</v>
          </cell>
        </row>
        <row r="220">
          <cell r="A220" t="str">
            <v>CBIO</v>
          </cell>
          <cell r="B220" t="str">
            <v>VAR_fin</v>
          </cell>
          <cell r="C220" t="str">
            <v>SUP_BIONGA</v>
          </cell>
          <cell r="E220">
            <v>1.2890711841623719</v>
          </cell>
          <cell r="F220">
            <v>3.6081999084619012</v>
          </cell>
          <cell r="G220">
            <v>3.0118343551394391</v>
          </cell>
          <cell r="H220">
            <v>7.2335526770065304</v>
          </cell>
          <cell r="I220">
            <v>5.957287658368041</v>
          </cell>
          <cell r="J220">
            <v>11.429622896599689</v>
          </cell>
        </row>
        <row r="221">
          <cell r="A221" t="str">
            <v>LTH</v>
          </cell>
          <cell r="B221" t="str">
            <v>VAR_fout</v>
          </cell>
          <cell r="C221" t="str">
            <v>SUP_WODBIO</v>
          </cell>
          <cell r="F221">
            <v>3.1996674198844427E-5</v>
          </cell>
          <cell r="G221">
            <v>2.2932565576608225E-5</v>
          </cell>
          <cell r="H221">
            <v>7.0796393938550418E-5</v>
          </cell>
          <cell r="I221">
            <v>5.6037096336528346E-5</v>
          </cell>
          <cell r="J221">
            <v>1.2140724047458877E-3</v>
          </cell>
        </row>
        <row r="222">
          <cell r="A222" t="str">
            <v>LTH</v>
          </cell>
          <cell r="B222" t="str">
            <v>VAR_fout</v>
          </cell>
          <cell r="C222" t="str">
            <v>SUP_WODBIOCCS</v>
          </cell>
          <cell r="I222">
            <v>5.2127102185396074E-5</v>
          </cell>
          <cell r="J222">
            <v>0.13109385863497053</v>
          </cell>
        </row>
        <row r="223">
          <cell r="A223" t="str">
            <v>LTH</v>
          </cell>
          <cell r="B223" t="str">
            <v>VAR_fout</v>
          </cell>
          <cell r="C223" t="str">
            <v>CT_CWODBDS</v>
          </cell>
          <cell r="E223">
            <v>5.4359290605554697E-6</v>
          </cell>
          <cell r="F223">
            <v>0.14175155598029235</v>
          </cell>
          <cell r="G223">
            <v>2.1998821349731256E-4</v>
          </cell>
          <cell r="H223">
            <v>1.6741465737534243E-2</v>
          </cell>
          <cell r="I223">
            <v>9.9313791243644534E-3</v>
          </cell>
          <cell r="J223">
            <v>8.360069834752102E-3</v>
          </cell>
        </row>
        <row r="224">
          <cell r="A224" t="str">
            <v>LTH</v>
          </cell>
          <cell r="B224" t="str">
            <v>VAR_fout</v>
          </cell>
          <cell r="C224" t="str">
            <v>CT_CWODBDSCCS</v>
          </cell>
          <cell r="I224">
            <v>1.0014562551196508E-4</v>
          </cell>
          <cell r="J224">
            <v>1.3932188579532334</v>
          </cell>
        </row>
        <row r="225">
          <cell r="A225" t="str">
            <v>LTH</v>
          </cell>
          <cell r="B225" t="str">
            <v>VAR_fin</v>
          </cell>
          <cell r="C225" t="str">
            <v>D-CHEAT</v>
          </cell>
          <cell r="I225">
            <v>3.7049068226430832E-4</v>
          </cell>
          <cell r="J225">
            <v>1.2248977267840734E-3</v>
          </cell>
        </row>
        <row r="226">
          <cell r="A226" t="str">
            <v>LNGA</v>
          </cell>
          <cell r="B226" t="str">
            <v>VAR_fin</v>
          </cell>
          <cell r="C226" t="str">
            <v>D-LNGA</v>
          </cell>
          <cell r="H226">
            <v>1.7161861713065603E-3</v>
          </cell>
          <cell r="I226">
            <v>2.1765475533505828E-3</v>
          </cell>
        </row>
        <row r="227">
          <cell r="A227" t="str">
            <v>WHEAT</v>
          </cell>
          <cell r="B227" t="str">
            <v>VAR_fin</v>
          </cell>
          <cell r="C227" t="str">
            <v>D-CHEAT</v>
          </cell>
          <cell r="I227">
            <v>1.3418133002286411E-3</v>
          </cell>
          <cell r="J227">
            <v>1.5789914435590244E-3</v>
          </cell>
        </row>
        <row r="228">
          <cell r="A228" t="str">
            <v>SOL</v>
          </cell>
          <cell r="B228" t="str">
            <v>VAR_fin</v>
          </cell>
          <cell r="C228" t="str">
            <v>ESOL-PV_E</v>
          </cell>
          <cell r="H228">
            <v>10.44646405664089</v>
          </cell>
          <cell r="I228">
            <v>13.872954479991629</v>
          </cell>
          <cell r="J228">
            <v>40.940524260214737</v>
          </cell>
        </row>
        <row r="229">
          <cell r="A229" t="str">
            <v>TKER</v>
          </cell>
          <cell r="B229" t="str">
            <v>VAR_fout</v>
          </cell>
          <cell r="C229" t="str">
            <v>D-TBDS1</v>
          </cell>
          <cell r="H229">
            <v>0.48860633740283799</v>
          </cell>
          <cell r="I229">
            <v>1.0117519066906199E-2</v>
          </cell>
          <cell r="J229">
            <v>1.6907753187335</v>
          </cell>
        </row>
        <row r="230">
          <cell r="A230" t="str">
            <v>CELC</v>
          </cell>
          <cell r="B230" t="str">
            <v>VAR_fout</v>
          </cell>
          <cell r="C230" t="str">
            <v>D-CELC</v>
          </cell>
          <cell r="E230">
            <v>1.4846978895731513</v>
          </cell>
          <cell r="F230">
            <v>5.0705157718041419E-2</v>
          </cell>
          <cell r="G230">
            <v>9.1503474925187803E-2</v>
          </cell>
          <cell r="H230">
            <v>20.874881559350278</v>
          </cell>
          <cell r="I230">
            <v>20.02208930073196</v>
          </cell>
          <cell r="J230">
            <v>36.368692184050403</v>
          </cell>
        </row>
        <row r="231">
          <cell r="A231" t="str">
            <v>CELC</v>
          </cell>
          <cell r="B231" t="str">
            <v>VAR_fin</v>
          </cell>
          <cell r="C231" t="str">
            <v>SUP_H2NGA</v>
          </cell>
          <cell r="I231">
            <v>1.3632219539489789E-2</v>
          </cell>
          <cell r="J231">
            <v>0.32387179346707862</v>
          </cell>
        </row>
        <row r="232">
          <cell r="A232" t="str">
            <v>CELC</v>
          </cell>
          <cell r="B232" t="str">
            <v>VAR_fin</v>
          </cell>
          <cell r="C232" t="str">
            <v>SUP_ELCH2_SOEC</v>
          </cell>
          <cell r="I232">
            <v>1.1156059001469935E-2</v>
          </cell>
          <cell r="J232">
            <v>1.0380380838412747E-2</v>
          </cell>
        </row>
        <row r="233">
          <cell r="A233" t="str">
            <v>CELC</v>
          </cell>
          <cell r="B233" t="str">
            <v>VAR_fin</v>
          </cell>
          <cell r="C233" t="str">
            <v>SUP_ELCH2</v>
          </cell>
          <cell r="E233">
            <v>4.244375702044661E-3</v>
          </cell>
          <cell r="F233">
            <v>2.477084937417421E-2</v>
          </cell>
          <cell r="G233">
            <v>8.929659876550998E-2</v>
          </cell>
          <cell r="H233">
            <v>20.809795943166989</v>
          </cell>
          <cell r="I233">
            <v>19.995003496436766</v>
          </cell>
          <cell r="J233">
            <v>35.019737921768595</v>
          </cell>
        </row>
        <row r="234">
          <cell r="A234" t="str">
            <v>CELC</v>
          </cell>
          <cell r="B234" t="str">
            <v>VAR_fin</v>
          </cell>
          <cell r="C234" t="str">
            <v>CT_CWODBDS</v>
          </cell>
          <cell r="E234">
            <v>9.6871043515027041E-7</v>
          </cell>
          <cell r="F234">
            <v>2.5260854206744402E-2</v>
          </cell>
          <cell r="G234">
            <v>3.9203027789905757E-5</v>
          </cell>
          <cell r="H234">
            <v>2.9834150480990565E-3</v>
          </cell>
          <cell r="I234">
            <v>1.769822690111104E-3</v>
          </cell>
          <cell r="J234">
            <v>1.4898073167058255E-3</v>
          </cell>
        </row>
        <row r="235">
          <cell r="A235" t="str">
            <v>CELC</v>
          </cell>
          <cell r="B235" t="str">
            <v>VAR_fin</v>
          </cell>
          <cell r="C235" t="str">
            <v>CT_CWODETHCCS</v>
          </cell>
          <cell r="I235">
            <v>2.2399199320374165E-4</v>
          </cell>
          <cell r="J235">
            <v>0.55158069147937117</v>
          </cell>
        </row>
        <row r="236">
          <cell r="A236" t="str">
            <v>CELC</v>
          </cell>
          <cell r="B236" t="str">
            <v>VAR_fin</v>
          </cell>
          <cell r="C236" t="str">
            <v>CT_CWODETH</v>
          </cell>
          <cell r="E236">
            <v>1.480452427295381</v>
          </cell>
          <cell r="F236">
            <v>6.7342168661194103E-4</v>
          </cell>
          <cell r="G236">
            <v>2.1676192514064139E-3</v>
          </cell>
          <cell r="H236">
            <v>6.210220113517629E-2</v>
          </cell>
          <cell r="I236">
            <v>2.6145646983473695E-4</v>
          </cell>
          <cell r="J236">
            <v>3.081174087922056E-4</v>
          </cell>
        </row>
        <row r="237">
          <cell r="A237" t="str">
            <v>CELC</v>
          </cell>
          <cell r="B237" t="str">
            <v>VAR_fin</v>
          </cell>
          <cell r="C237" t="str">
            <v>SUP_DAC</v>
          </cell>
          <cell r="I237">
            <v>9.1111679034531714E-6</v>
          </cell>
          <cell r="J237">
            <v>2.343735440444674E-4</v>
          </cell>
        </row>
        <row r="238">
          <cell r="A238" t="str">
            <v>CELC</v>
          </cell>
          <cell r="B238" t="str">
            <v>VAR_fin</v>
          </cell>
          <cell r="C238" t="str">
            <v>CT_CWODBDSCCS</v>
          </cell>
          <cell r="I238">
            <v>3.3143433205150372E-5</v>
          </cell>
          <cell r="J238">
            <v>0.46108909822738042</v>
          </cell>
        </row>
        <row r="239">
          <cell r="A239" t="str">
            <v>SBIO</v>
          </cell>
          <cell r="B239" t="str">
            <v>VAR_fout</v>
          </cell>
          <cell r="C239" t="str">
            <v>D-SBIO</v>
          </cell>
          <cell r="E239">
            <v>4.0476743803534765</v>
          </cell>
          <cell r="F239">
            <v>4.5839552013394131</v>
          </cell>
          <cell r="G239">
            <v>3.043077327467596</v>
          </cell>
          <cell r="H239">
            <v>3.0325902990305615</v>
          </cell>
          <cell r="I239">
            <v>2.9501120867446224</v>
          </cell>
          <cell r="J239">
            <v>2.8715230456691416</v>
          </cell>
        </row>
        <row r="240">
          <cell r="A240" t="str">
            <v>INGA</v>
          </cell>
          <cell r="B240" t="str">
            <v>VAR_fout</v>
          </cell>
          <cell r="C240" t="str">
            <v>D-INGA</v>
          </cell>
          <cell r="E240">
            <v>37.474687541245203</v>
          </cell>
          <cell r="F240">
            <v>32.158995638216773</v>
          </cell>
          <cell r="G240">
            <v>30.708864906995288</v>
          </cell>
          <cell r="H240">
            <v>10.689788204761255</v>
          </cell>
          <cell r="I240">
            <v>9.3869793938538848</v>
          </cell>
          <cell r="J240">
            <v>3.7866607593342301</v>
          </cell>
        </row>
        <row r="241">
          <cell r="A241" t="str">
            <v>DSL</v>
          </cell>
          <cell r="B241" t="str">
            <v>VAR_fout</v>
          </cell>
          <cell r="C241" t="str">
            <v>SUP_H2DSL</v>
          </cell>
          <cell r="I241">
            <v>3.680160905195486</v>
          </cell>
          <cell r="J241">
            <v>13.018898144015665</v>
          </cell>
        </row>
        <row r="242">
          <cell r="A242" t="str">
            <v>WSTREN</v>
          </cell>
          <cell r="B242" t="str">
            <v>VAR_fin</v>
          </cell>
          <cell r="C242" t="str">
            <v>D-CWST</v>
          </cell>
          <cell r="E242">
            <v>9.6793720144181492</v>
          </cell>
          <cell r="F242">
            <v>9.8131620474002759</v>
          </cell>
          <cell r="G242">
            <v>9.1096353383359769</v>
          </cell>
          <cell r="H242">
            <v>11.90042013180398</v>
          </cell>
          <cell r="I242">
            <v>14.457034119292485</v>
          </cell>
          <cell r="J242">
            <v>16.927242338213894</v>
          </cell>
        </row>
        <row r="243">
          <cell r="A243" t="str">
            <v>SOLPVC</v>
          </cell>
          <cell r="B243" t="str">
            <v>VAR_fin</v>
          </cell>
          <cell r="C243" t="str">
            <v>ESOL-PV_E</v>
          </cell>
          <cell r="H243">
            <v>10.446464056640901</v>
          </cell>
          <cell r="I243">
            <v>13.8729544799916</v>
          </cell>
          <cell r="J243">
            <v>40.940524260214701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1.7799792237940999E-2</v>
          </cell>
          <cell r="E4">
            <v>1.7888608800211099E-2</v>
          </cell>
          <cell r="F4">
            <v>1.7832403452447299E-2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4.4085038043106175E-3</v>
          </cell>
          <cell r="E5">
            <v>3.5482233415372912E-3</v>
          </cell>
          <cell r="F5">
            <v>2.2178163711888705E-3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3.1559915315498312E-4</v>
          </cell>
          <cell r="E6">
            <v>3.1717391489735934E-4</v>
          </cell>
          <cell r="F6">
            <v>3.1617736617814402E-4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3.520263189785692</v>
          </cell>
          <cell r="E8">
            <v>1.4372924401237555</v>
          </cell>
          <cell r="F8">
            <v>1.4137846688769613</v>
          </cell>
          <cell r="G8">
            <v>0.43426560644400691</v>
          </cell>
          <cell r="H8">
            <v>0.37871822653435699</v>
          </cell>
          <cell r="I8">
            <v>1.9795555193797301E-2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6.4428090078046327E-3</v>
          </cell>
          <cell r="E9">
            <v>2.6366155110383103E-3</v>
          </cell>
          <cell r="F9">
            <v>2.6022244128882329E-3</v>
          </cell>
          <cell r="G9">
            <v>8.2638894387862603E-4</v>
          </cell>
          <cell r="H9">
            <v>7.9262101388591583E-4</v>
          </cell>
          <cell r="I9">
            <v>4.2486274456820124E-5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6.2416014003292337E-2</v>
          </cell>
          <cell r="E10">
            <v>2.5483908512832578E-2</v>
          </cell>
          <cell r="F10">
            <v>2.5067104058102144E-2</v>
          </cell>
          <cell r="G10">
            <v>7.699744795106515E-3</v>
          </cell>
          <cell r="H10">
            <v>6.7148621725949776E-3</v>
          </cell>
          <cell r="I10">
            <v>3.5098502116661886E-4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7.5877287497955804E-7</v>
          </cell>
          <cell r="F11">
            <v>4.4216000379320702E-6</v>
          </cell>
          <cell r="G11">
            <v>5.9716849082827496E-6</v>
          </cell>
          <cell r="H11">
            <v>6.0998772127744699E-6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1.2196476412741606E-4</v>
          </cell>
          <cell r="E12">
            <v>5.0031989042974048E-5</v>
          </cell>
          <cell r="F12">
            <v>4.999220428850713E-5</v>
          </cell>
          <cell r="G12">
            <v>1.5842040468087081E-5</v>
          </cell>
          <cell r="H12">
            <v>1.5843842599228479E-5</v>
          </cell>
          <cell r="I12">
            <v>1.07045913381028E-6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1.7225866495319795E-4</v>
          </cell>
          <cell r="E13">
            <v>9.9145126459707707E-4</v>
          </cell>
          <cell r="F13">
            <v>2.2924530980136162E-3</v>
          </cell>
          <cell r="G13">
            <v>3.7816944699226944E-3</v>
          </cell>
          <cell r="H13">
            <v>2.3564370827474849E-3</v>
          </cell>
          <cell r="I13">
            <v>1.4072364907761023E-3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1.7225866495319795E-4</v>
          </cell>
          <cell r="E14">
            <v>9.9145126459707707E-4</v>
          </cell>
          <cell r="F14">
            <v>2.2924530980136162E-3</v>
          </cell>
          <cell r="G14">
            <v>3.7816944699226944E-3</v>
          </cell>
          <cell r="H14">
            <v>2.3564370827474849E-3</v>
          </cell>
          <cell r="I14">
            <v>1.4072364907761023E-3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8.7134634993714101E-5</v>
          </cell>
          <cell r="F15">
            <v>2.3574155160082901E-4</v>
          </cell>
          <cell r="G15">
            <v>2.8375807338570003E-4</v>
          </cell>
          <cell r="H15">
            <v>1.04497315270725E-4</v>
          </cell>
          <cell r="I15">
            <v>1.43379223141942E-4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2.47208543829546E-5</v>
          </cell>
          <cell r="E16">
            <v>1.1116930048215689E-4</v>
          </cell>
          <cell r="F16">
            <v>3.3888419239668264E-4</v>
          </cell>
          <cell r="G16">
            <v>5.5725959936198924E-4</v>
          </cell>
          <cell r="H16">
            <v>3.5151752056027075E-4</v>
          </cell>
          <cell r="I16">
            <v>2.1122270898574653E-4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9.9425193972826897E-4</v>
          </cell>
          <cell r="E17">
            <v>1.1212582337187809E-3</v>
          </cell>
          <cell r="F17">
            <v>1.3881155331205747E-3</v>
          </cell>
          <cell r="G17">
            <v>1.8347851065581185E-3</v>
          </cell>
          <cell r="H17">
            <v>0.76475263040600094</v>
          </cell>
          <cell r="I17">
            <v>2.5848287111369306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3.6998482193164157E-3</v>
          </cell>
          <cell r="E18">
            <v>4.1378979757149348E-3</v>
          </cell>
          <cell r="F18">
            <v>5.0884040032162124E-3</v>
          </cell>
          <cell r="G18">
            <v>6.3853962577870224E-3</v>
          </cell>
          <cell r="H18">
            <v>2.4487947656098896</v>
          </cell>
          <cell r="I18">
            <v>7.6274217783629892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1.5171614747328699E-6</v>
          </cell>
          <cell r="F19">
            <v>5.2657213828309199E-6</v>
          </cell>
          <cell r="G19">
            <v>2.47447978045346E-5</v>
          </cell>
          <cell r="H19">
            <v>8.77738410821962E-3</v>
          </cell>
          <cell r="I19">
            <v>4.85448946757253E-2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2.6602444008181896E-5</v>
          </cell>
          <cell r="E20">
            <v>2.1971866456517073E-5</v>
          </cell>
          <cell r="F20">
            <v>2.70621119127062E-5</v>
          </cell>
          <cell r="G20">
            <v>3.4740485105706903E-5</v>
          </cell>
          <cell r="H20">
            <v>1.43891228450764E-2</v>
          </cell>
          <cell r="I20">
            <v>5.0085225843363897E-2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2.8181512715982442E-2</v>
          </cell>
          <cell r="E21">
            <v>7.3693580392804658E-2</v>
          </cell>
          <cell r="F21">
            <v>0.11683699844329004</v>
          </cell>
          <cell r="G21">
            <v>0.12720870254541089</v>
          </cell>
          <cell r="H21">
            <v>1.7676243158684827E-2</v>
          </cell>
          <cell r="I21">
            <v>5.7248702874699601E-3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2.8181512715982442E-2</v>
          </cell>
          <cell r="E22">
            <v>7.3693580392804658E-2</v>
          </cell>
          <cell r="F22">
            <v>0.11683699844329004</v>
          </cell>
          <cell r="G22">
            <v>0.12720870254541089</v>
          </cell>
          <cell r="H22">
            <v>1.7676243158684827E-2</v>
          </cell>
          <cell r="I22">
            <v>5.7248702874699601E-3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4.10773465735053E-5</v>
          </cell>
          <cell r="F23">
            <v>3.65139131312887E-3</v>
          </cell>
          <cell r="G23">
            <v>2.2053592225226202E-3</v>
          </cell>
          <cell r="H23">
            <v>2.2409981177502999E-4</v>
          </cell>
          <cell r="I23">
            <v>4.0387270099033397E-4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2.9693102157020397E-3</v>
          </cell>
          <cell r="E24">
            <v>5.593711182420232E-3</v>
          </cell>
          <cell r="F24">
            <v>8.9198133872200203E-3</v>
          </cell>
          <cell r="G24">
            <v>9.6548709306457803E-3</v>
          </cell>
          <cell r="H24">
            <v>1.8398893531382978E-3</v>
          </cell>
          <cell r="I24">
            <v>5.9730170338407576E-4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12.889950174080166</v>
          </cell>
          <cell r="E25">
            <v>13.878001240325037</v>
          </cell>
          <cell r="F25">
            <v>23.053247188573142</v>
          </cell>
          <cell r="G25">
            <v>43.93957700049134</v>
          </cell>
          <cell r="H25">
            <v>61.566970047542448</v>
          </cell>
          <cell r="I25">
            <v>75.731652512696385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9.1221870995162491E-2</v>
          </cell>
          <cell r="E26">
            <v>1.8100719142792846E-3</v>
          </cell>
          <cell r="F26">
            <v>2.0931485239723997E-3</v>
          </cell>
          <cell r="G26">
            <v>0.11940883721894086</v>
          </cell>
          <cell r="H26">
            <v>3.3263405105852999</v>
          </cell>
          <cell r="I26">
            <v>8.8261457665776408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4.6000117491021324E-4</v>
          </cell>
          <cell r="E27">
            <v>7.1259149616169054E-2</v>
          </cell>
          <cell r="F27">
            <v>1.0268297508836417</v>
          </cell>
          <cell r="G27">
            <v>14.516649250416746</v>
          </cell>
          <cell r="H27">
            <v>24.827196967837551</v>
          </cell>
          <cell r="I27">
            <v>27.309534955019572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4.5668263494585726E-4</v>
          </cell>
          <cell r="E28">
            <v>5.4745385229568913E-2</v>
          </cell>
          <cell r="F28">
            <v>0.41427118084572501</v>
          </cell>
          <cell r="G28">
            <v>5.1153750401390923</v>
          </cell>
          <cell r="H28">
            <v>11.37563012164531</v>
          </cell>
          <cell r="I28">
            <v>17.277373419621238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12.79781161927515</v>
          </cell>
          <cell r="E29">
            <v>13.75019693301404</v>
          </cell>
          <cell r="F29">
            <v>21.610066737432902</v>
          </cell>
          <cell r="G29">
            <v>24.188151206202903</v>
          </cell>
          <cell r="H29">
            <v>22.037808252638918</v>
          </cell>
          <cell r="I29">
            <v>22.318604007231414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3.3312875921740953E-2</v>
          </cell>
          <cell r="E30">
            <v>0.7798682248289126</v>
          </cell>
          <cell r="F30">
            <v>2.5957477419299257</v>
          </cell>
          <cell r="G30">
            <v>6.4758935666009982</v>
          </cell>
          <cell r="H30">
            <v>10.704063402263174</v>
          </cell>
          <cell r="I30">
            <v>6.6533824791501521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3.3312875921740953E-2</v>
          </cell>
          <cell r="E31">
            <v>0.7798682248289126</v>
          </cell>
          <cell r="F31">
            <v>2.5957477419299257</v>
          </cell>
          <cell r="G31">
            <v>6.4758935666009982</v>
          </cell>
          <cell r="H31">
            <v>10.704063402263174</v>
          </cell>
          <cell r="I31">
            <v>6.6533824791501521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4.4414222967346803E-2</v>
          </cell>
          <cell r="F32">
            <v>0.12966199110941701</v>
          </cell>
          <cell r="G32">
            <v>0.30820123818988099</v>
          </cell>
          <cell r="H32">
            <v>0.27485693176866599</v>
          </cell>
          <cell r="I32">
            <v>0.48416774898178699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3.2699590411622652E-3</v>
          </cell>
          <cell r="E33">
            <v>5.3628056326299987E-2</v>
          </cell>
          <cell r="F33">
            <v>0.17850673508675804</v>
          </cell>
          <cell r="G33">
            <v>0.44527463247850024</v>
          </cell>
          <cell r="H33">
            <v>0.73604665416075443</v>
          </cell>
          <cell r="I33">
            <v>0.65286444091702645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1.3587470692216193E-5</v>
          </cell>
          <cell r="E34">
            <v>6.1964563498300069E-4</v>
          </cell>
          <cell r="F34">
            <v>2.0974785078132913E-3</v>
          </cell>
          <cell r="G34">
            <v>3.7646568546445712E-3</v>
          </cell>
          <cell r="H34">
            <v>2.4200048004144208E-3</v>
          </cell>
          <cell r="I34">
            <v>1.4147508473709332E-3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1.3587470692216193E-5</v>
          </cell>
          <cell r="E35">
            <v>6.1964563498300069E-4</v>
          </cell>
          <cell r="F35">
            <v>2.0974785078132913E-3</v>
          </cell>
          <cell r="G35">
            <v>3.7646568546445712E-3</v>
          </cell>
          <cell r="H35">
            <v>2.4200048004144208E-3</v>
          </cell>
          <cell r="I35">
            <v>1.4147508473709332E-3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6.93066088425635E-5</v>
          </cell>
          <cell r="F36">
            <v>2.4950682320737697E-4</v>
          </cell>
          <cell r="G36">
            <v>3.0405471107930102E-4</v>
          </cell>
          <cell r="H36">
            <v>1.04545915534345E-4</v>
          </cell>
          <cell r="I36">
            <v>1.4446441307213099E-4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6.9903919499429205E-5</v>
          </cell>
          <cell r="F37">
            <v>3.1212883493852089E-4</v>
          </cell>
          <cell r="G37">
            <v>5.5775052740181892E-4</v>
          </cell>
          <cell r="H37">
            <v>3.6119065713884443E-4</v>
          </cell>
          <cell r="I37">
            <v>2.1237888668038145E-4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2.9749827274204107E-2</v>
          </cell>
          <cell r="E38">
            <v>0.14461392637807488</v>
          </cell>
          <cell r="F38">
            <v>0.14403440894640157</v>
          </cell>
          <cell r="G38">
            <v>0.13778018815296367</v>
          </cell>
          <cell r="H38">
            <v>1.3709681890123551E-2</v>
          </cell>
          <cell r="I38">
            <v>7.2527188731881373E-3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2.9749827274204107E-2</v>
          </cell>
          <cell r="E39">
            <v>0.14461392637807488</v>
          </cell>
          <cell r="F39">
            <v>0.14403440894640157</v>
          </cell>
          <cell r="G39">
            <v>0.13778018815296367</v>
          </cell>
          <cell r="H39">
            <v>1.3709681890123551E-2</v>
          </cell>
          <cell r="I39">
            <v>7.2527188731881373E-3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2.89193310910138E-3</v>
          </cell>
          <cell r="F40">
            <v>6.8940777112319401E-4</v>
          </cell>
          <cell r="G40">
            <v>1.8368782599845501E-3</v>
          </cell>
          <cell r="H40">
            <v>3.6787457361300499E-4</v>
          </cell>
          <cell r="I40">
            <v>5.9534961311969998E-4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3.3443177721939193E-3</v>
          </cell>
          <cell r="E41">
            <v>1.1394308917444491E-2</v>
          </cell>
          <cell r="F41">
            <v>1.1395265060535549E-2</v>
          </cell>
          <cell r="G41">
            <v>1.0866567408578141E-2</v>
          </cell>
          <cell r="H41">
            <v>1.4747846360096614E-3</v>
          </cell>
          <cell r="I41">
            <v>7.9983074202393109E-4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3.5588997132629885E-6</v>
          </cell>
          <cell r="E42">
            <v>5.1318321107247868E-4</v>
          </cell>
          <cell r="F42">
            <v>0.94811726303789201</v>
          </cell>
          <cell r="G42">
            <v>0.90497183293973749</v>
          </cell>
          <cell r="H42">
            <v>8.5111373313188049E-2</v>
          </cell>
          <cell r="I42">
            <v>5.3706226845105362E-3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3.5588997132629885E-6</v>
          </cell>
          <cell r="E43">
            <v>5.1318321107247868E-4</v>
          </cell>
          <cell r="F43">
            <v>0.94811726303789201</v>
          </cell>
          <cell r="G43">
            <v>0.90497183293973749</v>
          </cell>
          <cell r="H43">
            <v>8.5111373313188049E-2</v>
          </cell>
          <cell r="I43">
            <v>5.3706226845105362E-3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4.0160973524546101E-5</v>
          </cell>
          <cell r="F44">
            <v>7.28759924698969E-2</v>
          </cell>
          <cell r="G44">
            <v>5.7145145325578099E-3</v>
          </cell>
          <cell r="H44">
            <v>2.1718164024499501E-4</v>
          </cell>
          <cell r="I44">
            <v>3.6558616986756998E-4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3.9876618004527967E-5</v>
          </cell>
          <cell r="F45">
            <v>7.194337445076214E-2</v>
          </cell>
          <cell r="G45">
            <v>6.8664172796712566E-2</v>
          </cell>
          <cell r="H45">
            <v>8.9525451627329774E-3</v>
          </cell>
          <cell r="I45">
            <v>5.600537134223915E-4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0.22016734788309034</v>
          </cell>
          <cell r="H46">
            <v>0.24502300726367154</v>
          </cell>
          <cell r="I46">
            <v>0.26339824655526262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8.7116871472458097</v>
          </cell>
          <cell r="H47">
            <v>9.7092177744119432</v>
          </cell>
          <cell r="I47">
            <v>10.452476074997783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4.4020299827467401E-5</v>
          </cell>
          <cell r="E48">
            <v>5.4053092896040902E-5</v>
          </cell>
          <cell r="F48">
            <v>8.1080706701314794E-5</v>
          </cell>
          <cell r="G48">
            <v>1.35137793184987E-4</v>
          </cell>
          <cell r="H48">
            <v>1.33430770075216E-4</v>
          </cell>
          <cell r="I48">
            <v>1.2803385814912601E-3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2.0938227976926471E-3</v>
          </cell>
          <cell r="E49">
            <v>2.1478758905886883E-3</v>
          </cell>
          <cell r="F49">
            <v>2.2289565972900029E-3</v>
          </cell>
          <cell r="G49">
            <v>2.3640943904749911E-3</v>
          </cell>
          <cell r="H49">
            <v>2.6309805564458137E-3</v>
          </cell>
          <cell r="I49">
            <v>2.8282838941691801E-3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6.3410158999949428E-5</v>
          </cell>
          <cell r="E50">
            <v>1.7336979738783891E-3</v>
          </cell>
          <cell r="F50">
            <v>1.0242572803127954</v>
          </cell>
          <cell r="G50">
            <v>3.7427582185878463</v>
          </cell>
          <cell r="H50">
            <v>7.3884035928621463</v>
          </cell>
          <cell r="I50">
            <v>4.6404420273912264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6.3410158999949428E-5</v>
          </cell>
          <cell r="E51">
            <v>1.7336979738783891E-3</v>
          </cell>
          <cell r="F51">
            <v>1.0242572803127954</v>
          </cell>
          <cell r="G51">
            <v>3.7427582185878463</v>
          </cell>
          <cell r="H51">
            <v>7.3884035928621463</v>
          </cell>
          <cell r="I51">
            <v>4.6404420273912264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1.18082826732871E-4</v>
          </cell>
          <cell r="F52">
            <v>7.1269701950811698E-2</v>
          </cell>
          <cell r="G52">
            <v>0.20612209694741401</v>
          </cell>
          <cell r="H52">
            <v>0.18703489975541601</v>
          </cell>
          <cell r="I52">
            <v>0.33767204429613301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1.2053616724243088E-4</v>
          </cell>
          <cell r="F53">
            <v>7.0434640535197476E-2</v>
          </cell>
          <cell r="G53">
            <v>0.25734561997950089</v>
          </cell>
          <cell r="H53">
            <v>0.50807561735389362</v>
          </cell>
          <cell r="I53">
            <v>0.45419697570157747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3.2893647621760115E-3</v>
          </cell>
          <cell r="E54">
            <v>9.8854105335524269E-3</v>
          </cell>
          <cell r="F54">
            <v>2.0860561088962563E-2</v>
          </cell>
          <cell r="G54">
            <v>5.5822736691683722E-2</v>
          </cell>
          <cell r="H54">
            <v>1.832756420715214E-2</v>
          </cell>
          <cell r="I54">
            <v>6.4355053898103795E-3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3.2893647621760115E-3</v>
          </cell>
          <cell r="E55">
            <v>9.8854105335524269E-3</v>
          </cell>
          <cell r="F55">
            <v>2.0860561088962563E-2</v>
          </cell>
          <cell r="G55">
            <v>5.5822736691683722E-2</v>
          </cell>
          <cell r="H55">
            <v>1.832756420715214E-2</v>
          </cell>
          <cell r="I55">
            <v>6.4355053898103795E-3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1.05205748549958E-4</v>
          </cell>
          <cell r="F56">
            <v>9.3956105663688203E-4</v>
          </cell>
          <cell r="G56">
            <v>3.1755588074011301E-3</v>
          </cell>
          <cell r="H56">
            <v>3.5269966777149499E-4</v>
          </cell>
          <cell r="I56">
            <v>4.9683014496536E-4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2.5915236277514598E-4</v>
          </cell>
          <cell r="E57">
            <v>7.8387222618122698E-4</v>
          </cell>
          <cell r="F57">
            <v>1.677558477519128E-3</v>
          </cell>
          <cell r="G57">
            <v>4.4084424516399436E-3</v>
          </cell>
          <cell r="H57">
            <v>1.9944225972929404E-3</v>
          </cell>
          <cell r="I57">
            <v>7.0822621355078801E-4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9.8185366354317345E-6</v>
          </cell>
          <cell r="H58">
            <v>3.6745428643454885E-4</v>
          </cell>
          <cell r="I58">
            <v>3.1685215058370429E-3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4.1887640102878126E-5</v>
          </cell>
          <cell r="H59">
            <v>1.3767967090035987E-3</v>
          </cell>
          <cell r="I59">
            <v>1.0513670598741231E-2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2.1429100818418199E-7</v>
          </cell>
          <cell r="H60">
            <v>7.0749984270053502E-6</v>
          </cell>
          <cell r="I60">
            <v>6.4480404758686697E-5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2.1429100818418199E-7</v>
          </cell>
          <cell r="H61">
            <v>7.9600785414630706E-6</v>
          </cell>
          <cell r="I61">
            <v>6.8177214616013296E-5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1.7294252327051062E-4</v>
          </cell>
          <cell r="E62">
            <v>8.9312705346987931E-4</v>
          </cell>
          <cell r="F62">
            <v>2.0067851098934972E-3</v>
          </cell>
          <cell r="G62">
            <v>3.0240200639521557E-3</v>
          </cell>
          <cell r="H62">
            <v>1.5354883029361423E-3</v>
          </cell>
          <cell r="I62">
            <v>6.7846873098186618E-4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1.7883349816069601E-2</v>
          </cell>
          <cell r="E63">
            <v>9.2354981443252895E-2</v>
          </cell>
          <cell r="F63">
            <v>0.207514262237114</v>
          </cell>
          <cell r="G63">
            <v>0.31270278490085524</v>
          </cell>
          <cell r="H63">
            <v>0.14882078706076496</v>
          </cell>
          <cell r="I63">
            <v>6.367349203881309E-2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2.4232181322587541E-4</v>
          </cell>
          <cell r="E64">
            <v>1.2514225127812049E-3</v>
          </cell>
          <cell r="F64">
            <v>2.8118463717766219E-3</v>
          </cell>
          <cell r="G64">
            <v>4.2371651070576529E-3</v>
          </cell>
          <cell r="H64">
            <v>2.0165418300916683E-3</v>
          </cell>
          <cell r="I64">
            <v>8.6278444497036775E-4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4.1593579438621042E-6</v>
          </cell>
          <cell r="H65">
            <v>1.4368270731890352E-4</v>
          </cell>
          <cell r="I65">
            <v>1.9505677567370627E-4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2.4596810713980546E-5</v>
          </cell>
          <cell r="H66">
            <v>7.4964516601567284E-4</v>
          </cell>
          <cell r="I66">
            <v>9.300978444006558E-4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8.9317176626306095E-8</v>
          </cell>
          <cell r="H67">
            <v>2.3468727926600101E-6</v>
          </cell>
          <cell r="I67">
            <v>2.5545985547821999E-6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8.9317176626306095E-8</v>
          </cell>
          <cell r="H68">
            <v>2.8553915364064602E-6</v>
          </cell>
          <cell r="I68">
            <v>3.81803070057874E-6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3.1648514572689499</v>
          </cell>
          <cell r="E69">
            <v>9.2312157334404787</v>
          </cell>
          <cell r="F69">
            <v>14.467126479111251</v>
          </cell>
          <cell r="G69">
            <v>12.270938803974641</v>
          </cell>
          <cell r="H69">
            <v>1.2322156335526313</v>
          </cell>
          <cell r="I69">
            <v>0.27468989030114449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2.5130813445669746E-2</v>
          </cell>
          <cell r="E70">
            <v>7.3301374047429646E-2</v>
          </cell>
          <cell r="F70">
            <v>0.1148776369287139</v>
          </cell>
          <cell r="G70">
            <v>9.7438593264034548E-2</v>
          </cell>
          <cell r="H70">
            <v>1.0639400505450963E-2</v>
          </cell>
          <cell r="I70">
            <v>2.4289726782972111E-3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4.2884166087655176E-2</v>
          </cell>
          <cell r="E71">
            <v>0.12508422403035876</v>
          </cell>
          <cell r="F71">
            <v>0.19603152410719851</v>
          </cell>
          <cell r="G71">
            <v>0.16627288352269151</v>
          </cell>
          <cell r="H71">
            <v>1.669668880152617E-2</v>
          </cell>
          <cell r="I71">
            <v>3.7220852344328459E-3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1.8204826483458138E-6</v>
          </cell>
          <cell r="H72">
            <v>5.1872634527257381E-3</v>
          </cell>
          <cell r="I72">
            <v>1.9687290073189543E-3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1.6095027311729075E-5</v>
          </cell>
          <cell r="H73">
            <v>3.9955988923603754E-2</v>
          </cell>
          <cell r="I73">
            <v>1.4988301708968785E-2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4.7865244415901102E-8</v>
          </cell>
          <cell r="H74">
            <v>9.8311353756323295E-5</v>
          </cell>
          <cell r="I74">
            <v>3.7578586629471199E-6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4.7865244415901102E-8</v>
          </cell>
          <cell r="H75">
            <v>9.8563822210435205E-5</v>
          </cell>
          <cell r="I75">
            <v>3.7431586120687102E-5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8.8803642584425364E-5</v>
          </cell>
          <cell r="F76">
            <v>3.0202675950071259E-4</v>
          </cell>
          <cell r="G76">
            <v>2.745316543164168E-3</v>
          </cell>
          <cell r="H76">
            <v>3.3182339660055528E-3</v>
          </cell>
          <cell r="I76">
            <v>3.2156024824190853E-3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8.880364258442535E-5</v>
          </cell>
          <cell r="F77">
            <v>3.0202675950071259E-4</v>
          </cell>
          <cell r="G77">
            <v>2.745316543164168E-3</v>
          </cell>
          <cell r="H77">
            <v>3.3182339660055528E-3</v>
          </cell>
          <cell r="I77">
            <v>3.2156024824190853E-3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9.0418522470417639E-5</v>
          </cell>
          <cell r="F78">
            <v>3.0593638118963761E-4</v>
          </cell>
          <cell r="G78">
            <v>2.7495947893863833E-3</v>
          </cell>
          <cell r="H78">
            <v>3.3207424445640551E-3</v>
          </cell>
          <cell r="I78">
            <v>3.2176574443140509E-3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9.0418522470417639E-5</v>
          </cell>
          <cell r="F79">
            <v>3.0593638118963761E-4</v>
          </cell>
          <cell r="G79">
            <v>2.7495947893863833E-3</v>
          </cell>
          <cell r="H79">
            <v>3.3207424445640551E-3</v>
          </cell>
          <cell r="I79">
            <v>3.2176574443140509E-3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6.8891975563442299E-3</v>
          </cell>
          <cell r="F80">
            <v>2.2405056001407499E-2</v>
          </cell>
          <cell r="G80">
            <v>2.66505801776032E-2</v>
          </cell>
          <cell r="H80">
            <v>9.0499181166383297E-3</v>
          </cell>
          <cell r="I80">
            <v>1.1883479713635899E-2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6.8891975563442299E-3</v>
          </cell>
          <cell r="F81">
            <v>2.9291271639286801E-2</v>
          </cell>
          <cell r="G81">
            <v>5.5930069033493637E-2</v>
          </cell>
          <cell r="H81">
            <v>4.3963408592784692E-2</v>
          </cell>
          <cell r="I81">
            <v>2.3845519573571134E-2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4.5065865727416101</v>
          </cell>
          <cell r="E82">
            <v>105.4831241742115</v>
          </cell>
          <cell r="F82">
            <v>283.78229803292402</v>
          </cell>
          <cell r="G82">
            <v>617.7725413129499</v>
          </cell>
          <cell r="H82">
            <v>674.04170957400265</v>
          </cell>
          <cell r="I82">
            <v>272.06045096435025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3.3313111628608234E-2</v>
          </cell>
          <cell r="E83">
            <v>0.77974117080194194</v>
          </cell>
          <cell r="F83">
            <v>2.0977454266106776</v>
          </cell>
          <cell r="G83">
            <v>4.5666327047451727</v>
          </cell>
          <cell r="H83">
            <v>5.5713172672086575</v>
          </cell>
          <cell r="I83">
            <v>2.2510497164297121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6.1064858709235892E-2</v>
          </cell>
          <cell r="E84">
            <v>1.4293106256668247</v>
          </cell>
          <cell r="F84">
            <v>3.8452885912320425</v>
          </cell>
          <cell r="G84">
            <v>8.3709016438069082</v>
          </cell>
          <cell r="H84">
            <v>9.1333564982927165</v>
          </cell>
          <cell r="I84">
            <v>3.6864559751266976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3.9436426073131987E-7</v>
          </cell>
          <cell r="H85">
            <v>3.5464066831676958E-6</v>
          </cell>
          <cell r="I85">
            <v>6.1137610225555779E-7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5.1960693887413398E-6</v>
          </cell>
          <cell r="H86">
            <v>4.2046419029347547E-5</v>
          </cell>
          <cell r="I86">
            <v>6.2368685300655717E-6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1.7357264923054299E-8</v>
          </cell>
          <cell r="H87">
            <v>4.3838349312217199E-8</v>
          </cell>
          <cell r="I87">
            <v>1.9354604374857501E-8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1.7357264923054299E-8</v>
          </cell>
          <cell r="H88">
            <v>7.1397057568882596E-8</v>
          </cell>
          <cell r="I88">
            <v>2.7047736514329599E-8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2.0291464327672815E-3</v>
          </cell>
          <cell r="E89">
            <v>3.0104467822725017E-4</v>
          </cell>
          <cell r="F89">
            <v>1.9746998358323858E-3</v>
          </cell>
          <cell r="G89">
            <v>0.16089511184153632</v>
          </cell>
          <cell r="H89">
            <v>2.5475463984681729E-2</v>
          </cell>
          <cell r="I89">
            <v>4.4508141325079456E-3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2.0291464327672811E-3</v>
          </cell>
          <cell r="E90">
            <v>3.0104467822725006E-4</v>
          </cell>
          <cell r="F90">
            <v>1.9746998358323854E-3</v>
          </cell>
          <cell r="G90">
            <v>0.16089511184153632</v>
          </cell>
          <cell r="H90">
            <v>2.5475463984681725E-2</v>
          </cell>
          <cell r="I90">
            <v>4.4508141325079438E-3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2.0300487905795003E-3</v>
          </cell>
          <cell r="E91">
            <v>3.0464242768680902E-4</v>
          </cell>
          <cell r="F91">
            <v>1.9796145410730455E-3</v>
          </cell>
          <cell r="G91">
            <v>0.16091703011040154</v>
          </cell>
          <cell r="H91">
            <v>2.5481327170327563E-2</v>
          </cell>
          <cell r="I91">
            <v>4.4547187900517956E-3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2.0300487905795003E-3</v>
          </cell>
          <cell r="E92">
            <v>3.0464242768680902E-4</v>
          </cell>
          <cell r="F92">
            <v>1.9796145410730455E-3</v>
          </cell>
          <cell r="G92">
            <v>0.16091703011040154</v>
          </cell>
          <cell r="H92">
            <v>2.5481327170327563E-2</v>
          </cell>
          <cell r="I92">
            <v>4.4547187900517956E-3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1.9851973779269502E-2</v>
          </cell>
          <cell r="E93">
            <v>1.8626641456547102E-2</v>
          </cell>
          <cell r="F93">
            <v>3.71093265068611E-2</v>
          </cell>
          <cell r="G93">
            <v>9.1214672485502496E-2</v>
          </cell>
          <cell r="H93">
            <v>2.7120359581557299E-2</v>
          </cell>
          <cell r="I93">
            <v>1.5621187112625799E-2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1.9851973779269502E-2</v>
          </cell>
          <cell r="E94">
            <v>3.8472196637272693E-2</v>
          </cell>
          <cell r="F94">
            <v>7.5568428852942501E-2</v>
          </cell>
          <cell r="G94">
            <v>0.16675867879850015</v>
          </cell>
          <cell r="H94">
            <v>0.14743181661641039</v>
          </cell>
          <cell r="I94">
            <v>5.7052040084490475E-2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4.2242170073222098</v>
          </cell>
          <cell r="E95">
            <v>20.519625688191901</v>
          </cell>
          <cell r="F95">
            <v>18.428735699729021</v>
          </cell>
          <cell r="G95">
            <v>14.165708236635542</v>
          </cell>
          <cell r="H95">
            <v>0.99215957322481163</v>
          </cell>
          <cell r="I95">
            <v>0.34415284271515301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2.9750146383699171E-2</v>
          </cell>
          <cell r="E96">
            <v>0.14451479810441864</v>
          </cell>
          <cell r="F96">
            <v>0.12978916182172875</v>
          </cell>
          <cell r="G96">
            <v>9.9765682714257939E-2</v>
          </cell>
          <cell r="H96">
            <v>7.5167546119101003E-3</v>
          </cell>
          <cell r="I96">
            <v>2.6862426572598027E-3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5.7238712836344408E-2</v>
          </cell>
          <cell r="E97">
            <v>0.27804370851208454</v>
          </cell>
          <cell r="F97">
            <v>0.2497118658499867</v>
          </cell>
          <cell r="G97">
            <v>0.19194726607907245</v>
          </cell>
          <cell r="H97">
            <v>1.3443896656162751E-2</v>
          </cell>
          <cell r="I97">
            <v>4.663317651966847E-3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2.5470017241030349E-4</v>
          </cell>
          <cell r="F98">
            <v>0.49566055231087736</v>
          </cell>
          <cell r="G98">
            <v>2.2517352282155616</v>
          </cell>
          <cell r="H98">
            <v>5.9672583632670895</v>
          </cell>
          <cell r="I98">
            <v>6.3501759520657135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2.5470017241030349E-4</v>
          </cell>
          <cell r="F99">
            <v>0.49566055231087719</v>
          </cell>
          <cell r="G99">
            <v>2.2517352282155612</v>
          </cell>
          <cell r="H99">
            <v>5.9672583632670895</v>
          </cell>
          <cell r="I99">
            <v>6.3501759520657126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2.560492447344147E-4</v>
          </cell>
          <cell r="F100">
            <v>0.49571317203547349</v>
          </cell>
          <cell r="G100">
            <v>2.2519652315637999</v>
          </cell>
          <cell r="H100">
            <v>5.9678576118496789</v>
          </cell>
          <cell r="I100">
            <v>6.3508137862973122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2.560492447344147E-4</v>
          </cell>
          <cell r="F101">
            <v>0.49571317203547349</v>
          </cell>
          <cell r="G101">
            <v>2.2519652315637999</v>
          </cell>
          <cell r="H101">
            <v>5.9678576118496789</v>
          </cell>
          <cell r="I101">
            <v>6.3508137862973122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3.9562533398393498</v>
          </cell>
          <cell r="F102">
            <v>17.612502941933201</v>
          </cell>
          <cell r="G102">
            <v>44.062922406056302</v>
          </cell>
          <cell r="H102">
            <v>37.805901835477698</v>
          </cell>
          <cell r="I102">
            <v>64.242998067685505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3.9562533398393498</v>
          </cell>
          <cell r="F103">
            <v>21.566862024788019</v>
          </cell>
          <cell r="G103">
            <v>65.609478109540433</v>
          </cell>
          <cell r="H103">
            <v>117.81315073397928</v>
          </cell>
          <cell r="I103">
            <v>111.31913354522702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56.052975637158703</v>
          </cell>
          <cell r="F104">
            <v>168.72215800704259</v>
          </cell>
          <cell r="G104">
            <v>165.3550971973219</v>
          </cell>
          <cell r="H104">
            <v>19.798794430206492</v>
          </cell>
          <cell r="I104">
            <v>1.77227870891567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0.35235190511605696</v>
          </cell>
          <cell r="F105">
            <v>1.0605962151572825</v>
          </cell>
          <cell r="G105">
            <v>1.0394306966908506</v>
          </cell>
          <cell r="H105">
            <v>0.12445624620613029</v>
          </cell>
          <cell r="I105">
            <v>1.1140635664471146E-2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0.76470635248511143</v>
          </cell>
          <cell r="F106">
            <v>2.3018029741752075</v>
          </cell>
          <cell r="G106">
            <v>2.2558676288857007</v>
          </cell>
          <cell r="H106">
            <v>0.2701063360191886</v>
          </cell>
          <cell r="I106">
            <v>2.4178427133910912E-2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2.4562311115096599E-2</v>
          </cell>
          <cell r="F107">
            <v>4.9398912692632101E-2</v>
          </cell>
          <cell r="G107">
            <v>3.2770315835626597E-2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2.4562311115096599E-2</v>
          </cell>
          <cell r="F108">
            <v>7.3961223807728793E-2</v>
          </cell>
          <cell r="G108">
            <v>0.10347713504139057</v>
          </cell>
          <cell r="H108">
            <v>1.2118221559838658E-2</v>
          </cell>
          <cell r="I108">
            <v>1.1080086324536573E-3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3.7786871124689738E-4</v>
          </cell>
          <cell r="E109">
            <v>2.1341378026002097E-3</v>
          </cell>
          <cell r="F109">
            <v>2.0890038191433741E-3</v>
          </cell>
          <cell r="G109">
            <v>5.9896235073799797E-4</v>
          </cell>
          <cell r="H109">
            <v>5.1391681766909461E-2</v>
          </cell>
          <cell r="I109">
            <v>4.8908295840431375E-2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2.1659489813866798E-3</v>
          </cell>
          <cell r="E110">
            <v>1.2170363108960277E-2</v>
          </cell>
          <cell r="F110">
            <v>1.1910590133829306E-2</v>
          </cell>
          <cell r="G110">
            <v>3.4010354395267207E-3</v>
          </cell>
          <cell r="H110">
            <v>0.25345329313021614</v>
          </cell>
          <cell r="I110">
            <v>0.22590229761970873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2.9487546785659899E-7</v>
          </cell>
          <cell r="F111">
            <v>3.0500025021258801E-7</v>
          </cell>
          <cell r="G111">
            <v>6.3280205076203597E-7</v>
          </cell>
          <cell r="H111">
            <v>9.39564587042838E-4</v>
          </cell>
          <cell r="I111">
            <v>9.3436263270331996E-4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1.0107522220897779E-5</v>
          </cell>
          <cell r="E112">
            <v>4.0406629649894648E-5</v>
          </cell>
          <cell r="F112">
            <v>4.0701848946071741E-5</v>
          </cell>
          <cell r="G112">
            <v>1.1586723359521E-5</v>
          </cell>
          <cell r="H112">
            <v>1.0168677902840501E-3</v>
          </cell>
          <cell r="I112">
            <v>1.0992455408212699E-3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3.6870529947795501E-4</v>
          </cell>
          <cell r="F113">
            <v>1.1718233039032451E-2</v>
          </cell>
          <cell r="G113">
            <v>4.0136590492939501E-2</v>
          </cell>
          <cell r="H113">
            <v>2.376576040684172E-2</v>
          </cell>
          <cell r="I113">
            <v>1.6291264058488793E-2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3.6870529947795501E-4</v>
          </cell>
          <cell r="F114">
            <v>1.1718233039032451E-2</v>
          </cell>
          <cell r="G114">
            <v>4.0136590492939495E-2</v>
          </cell>
          <cell r="H114">
            <v>2.3765760406841717E-2</v>
          </cell>
          <cell r="I114">
            <v>1.6291264058488793E-2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3.700320870132652E-4</v>
          </cell>
          <cell r="F115">
            <v>1.1722453691768664E-2</v>
          </cell>
          <cell r="G115">
            <v>4.0145145188642491E-2</v>
          </cell>
          <cell r="H115">
            <v>2.3770616551557294E-2</v>
          </cell>
          <cell r="I115">
            <v>1.6294752846068895E-2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3.700320870132652E-4</v>
          </cell>
          <cell r="F116">
            <v>1.1722453691768664E-2</v>
          </cell>
          <cell r="G116">
            <v>4.0145145188642491E-2</v>
          </cell>
          <cell r="H116">
            <v>2.3770616551557294E-2</v>
          </cell>
          <cell r="I116">
            <v>1.6294752846068895E-2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0.26768887867537899</v>
          </cell>
          <cell r="F117">
            <v>0.143681916178903</v>
          </cell>
          <cell r="G117">
            <v>0.43242966893889501</v>
          </cell>
          <cell r="H117">
            <v>5.94663242309727E-2</v>
          </cell>
          <cell r="I117">
            <v>8.6223047380765694E-2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0.26768887867537899</v>
          </cell>
          <cell r="F118">
            <v>0.41136251336876895</v>
          </cell>
          <cell r="G118">
            <v>0.84376915659171459</v>
          </cell>
          <cell r="H118">
            <v>0.45124938407073317</v>
          </cell>
          <cell r="I118">
            <v>0.15953369967999939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61.347087300248397</v>
          </cell>
          <cell r="E119">
            <v>135.75107224798199</v>
          </cell>
          <cell r="F119">
            <v>40.048491308771098</v>
          </cell>
          <cell r="G119">
            <v>19.988666409576101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0.23074423099338856</v>
          </cell>
          <cell r="E120">
            <v>0.51535805063824258</v>
          </cell>
          <cell r="F120">
            <v>0.15414380334042144</v>
          </cell>
          <cell r="G120">
            <v>7.6934959679746645E-2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0.83126134553182085</v>
          </cell>
          <cell r="E121">
            <v>1.8394454234143958</v>
          </cell>
          <cell r="F121">
            <v>0.54266248385868754</v>
          </cell>
          <cell r="G121">
            <v>0.27084913834114022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3.0634653123717999E-2</v>
          </cell>
          <cell r="G122">
            <v>1.5317333333333299E-2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2.5094619102923224E-2</v>
          </cell>
          <cell r="E123">
            <v>2.654827936827308E-2</v>
          </cell>
          <cell r="F123">
            <v>2.9167716650901291E-2</v>
          </cell>
          <cell r="G123">
            <v>3.164272691830166E-2</v>
          </cell>
          <cell r="H123">
            <v>3.3878738777578764E-2</v>
          </cell>
          <cell r="I123">
            <v>3.642210062179637E-2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1.502309069649451</v>
          </cell>
          <cell r="E124">
            <v>1.5893335824291519</v>
          </cell>
          <cell r="F124">
            <v>1.7461482513799136</v>
          </cell>
          <cell r="G124">
            <v>1.894316683701641</v>
          </cell>
          <cell r="H124">
            <v>2.0281772887284961</v>
          </cell>
          <cell r="I124">
            <v>2.180437641846324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1.55019574169511E-7</v>
          </cell>
          <cell r="E125">
            <v>1.34096334646569E-4</v>
          </cell>
          <cell r="F125">
            <v>2.41819380000255E-4</v>
          </cell>
          <cell r="G125">
            <v>2.2845910336986001E-4</v>
          </cell>
          <cell r="H125">
            <v>7.2190749295443304E-5</v>
          </cell>
          <cell r="I125">
            <v>1.4954068513606401E-3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2.3168195072573493E-3</v>
          </cell>
          <cell r="E126">
            <v>2.4509158419039187E-3</v>
          </cell>
          <cell r="F126">
            <v>2.6927352219041738E-3</v>
          </cell>
          <cell r="G126">
            <v>2.9211943252740336E-3</v>
          </cell>
          <cell r="H126">
            <v>3.1276255262642147E-3</v>
          </cell>
          <cell r="I126">
            <v>3.36241188506484E-3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844.477537035365</v>
          </cell>
          <cell r="E127">
            <v>545.27016783335796</v>
          </cell>
          <cell r="F127">
            <v>399.65099144440501</v>
          </cell>
          <cell r="G127">
            <v>199.76428909326501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2.984319516919077</v>
          </cell>
          <cell r="E128">
            <v>1.9931555975003408</v>
          </cell>
          <cell r="F128">
            <v>1.5336604209653133</v>
          </cell>
          <cell r="G128">
            <v>0.76659533008372849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11.520839522992702</v>
          </cell>
          <cell r="E129">
            <v>7.4388835993636881</v>
          </cell>
          <cell r="F129">
            <v>5.4522645490369053</v>
          </cell>
          <cell r="G129">
            <v>2.7252972591168474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0.15266197676225299</v>
          </cell>
          <cell r="G130">
            <v>7.6330999999999996E-2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0.21916792868315779</v>
          </cell>
          <cell r="E131">
            <v>0.1237515040809509</v>
          </cell>
          <cell r="F131">
            <v>0.101676711156455</v>
          </cell>
          <cell r="G131">
            <v>1.0145113995501699E-2</v>
          </cell>
          <cell r="H131">
            <v>3.2915446671446195E-3</v>
          </cell>
          <cell r="I131">
            <v>6.3835648899124601E-4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2.3939321885553607E-3</v>
          </cell>
          <cell r="E132">
            <v>1.4206093631391797E-3</v>
          </cell>
          <cell r="F132">
            <v>1.1581514881030884E-3</v>
          </cell>
          <cell r="G132">
            <v>1.1103863463257624E-4</v>
          </cell>
          <cell r="H132">
            <v>3.5267842647402714E-5</v>
          </cell>
          <cell r="I132">
            <v>6.9195694601735642E-6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3.8859561823255035E-3</v>
          </cell>
          <cell r="E133">
            <v>2.1941756042721835E-3</v>
          </cell>
          <cell r="F133">
            <v>1.802778566603815E-3</v>
          </cell>
          <cell r="G133">
            <v>1.7987790772166134E-4</v>
          </cell>
          <cell r="H133">
            <v>5.8360721048663414E-5</v>
          </cell>
          <cell r="I133">
            <v>1.1318377464383784E-5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3.7506429724313699E-6</v>
          </cell>
          <cell r="F134">
            <v>3.90180502144893E-6</v>
          </cell>
          <cell r="G134">
            <v>1.34848765096791E-6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2.5629355550414398E-4</v>
          </cell>
          <cell r="E135">
            <v>1.6379790456393282E-4</v>
          </cell>
          <cell r="F135">
            <v>1.6681357578602685E-4</v>
          </cell>
          <cell r="G135">
            <v>1.4999608457787379E-5</v>
          </cell>
          <cell r="H135">
            <v>4.8079569973657396E-6</v>
          </cell>
          <cell r="I135">
            <v>9.2986221435620099E-7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2.71650856941221</v>
          </cell>
          <cell r="E136">
            <v>3.3072000840249252</v>
          </cell>
          <cell r="F136">
            <v>9.8376112303801957</v>
          </cell>
          <cell r="G136">
            <v>23.763565056893654</v>
          </cell>
          <cell r="H136">
            <v>37.979696191348573</v>
          </cell>
          <cell r="I136">
            <v>44.856610575903261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2.71650856941221</v>
          </cell>
          <cell r="E137">
            <v>3.3072000840249252</v>
          </cell>
          <cell r="F137">
            <v>9.8376112303801957</v>
          </cell>
          <cell r="G137">
            <v>23.763565056893654</v>
          </cell>
          <cell r="H137">
            <v>37.979696191348573</v>
          </cell>
          <cell r="I137">
            <v>44.856610575903261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2.12583422490445E-6</v>
          </cell>
          <cell r="E138">
            <v>0.54571625299936799</v>
          </cell>
          <cell r="F138">
            <v>3.8247871951135899</v>
          </cell>
          <cell r="G138">
            <v>9.0304566414954692</v>
          </cell>
          <cell r="H138">
            <v>10.533917435363101</v>
          </cell>
          <cell r="I138">
            <v>20.9467836025884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1.2762600828922748</v>
          </cell>
          <cell r="E139">
            <v>1.8219763358916428</v>
          </cell>
          <cell r="F139">
            <v>5.64676353100523</v>
          </cell>
          <cell r="G139">
            <v>14.67722017250065</v>
          </cell>
          <cell r="H139">
            <v>30.298071454862299</v>
          </cell>
          <cell r="I139">
            <v>34.056277871784701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3.167870540111775</v>
          </cell>
          <cell r="E140">
            <v>3.269818068662897</v>
          </cell>
          <cell r="F140">
            <v>3.3692440044833027</v>
          </cell>
          <cell r="G140">
            <v>8.9467926204467967E-3</v>
          </cell>
          <cell r="H140">
            <v>6.1644331552024719E-3</v>
          </cell>
          <cell r="I140">
            <v>1.4070855614666099E-3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3.5462708715361876E-2</v>
          </cell>
          <cell r="E141">
            <v>3.6227785432314225E-2</v>
          </cell>
          <cell r="F141">
            <v>3.689101150649797E-2</v>
          </cell>
          <cell r="G141">
            <v>8.2541723478643091E-5</v>
          </cell>
          <cell r="H141">
            <v>5.2881462612361237E-5</v>
          </cell>
          <cell r="I141">
            <v>1.2207923693032076E-5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5.6167917377868332E-2</v>
          </cell>
          <cell r="E142">
            <v>5.7975497671327932E-2</v>
          </cell>
          <cell r="F142">
            <v>5.973836887381756E-2</v>
          </cell>
          <cell r="G142">
            <v>1.5863107483061705E-4</v>
          </cell>
          <cell r="H142">
            <v>1.0929846019862545E-4</v>
          </cell>
          <cell r="I142">
            <v>2.4948325557918649E-5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2.81210967536393E-6</v>
          </cell>
          <cell r="F143">
            <v>3.0564840036684898E-6</v>
          </cell>
          <cell r="G143">
            <v>1.2405953949167599E-6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2.6902364593150698E-3</v>
          </cell>
          <cell r="E144">
            <v>2.8423235322404747E-3</v>
          </cell>
          <cell r="F144">
            <v>2.8063334967729039E-3</v>
          </cell>
          <cell r="G144">
            <v>6.5401660272849937E-6</v>
          </cell>
          <cell r="H144">
            <v>4.6537718695648386E-6</v>
          </cell>
          <cell r="I144">
            <v>1.071044427014113E-6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325.83558855766307</v>
          </cell>
          <cell r="E145">
            <v>384.39405772112303</v>
          </cell>
          <cell r="F145">
            <v>362.91730434398727</v>
          </cell>
          <cell r="G145">
            <v>153.21290017676023</v>
          </cell>
          <cell r="H145">
            <v>0.15212845983085221</v>
          </cell>
          <cell r="I145">
            <v>1.96339069106337E-2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1.5207787699601889</v>
          </cell>
          <cell r="E146">
            <v>1.7940898502487599</v>
          </cell>
          <cell r="F146">
            <v>1.6938509821490662</v>
          </cell>
          <cell r="G146">
            <v>0.71509354427566696</v>
          </cell>
          <cell r="H146">
            <v>7.1003211479018201E-4</v>
          </cell>
          <cell r="I146">
            <v>9.1637714999883319E-5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4.4452331317553062</v>
          </cell>
          <cell r="E147">
            <v>5.2441208420344108</v>
          </cell>
          <cell r="F147">
            <v>4.9511228423463498</v>
          </cell>
          <cell r="G147">
            <v>2.0902169191918163</v>
          </cell>
          <cell r="H147">
            <v>2.075422371498666E-3</v>
          </cell>
          <cell r="I147">
            <v>2.6785684734834537E-4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1.42309531801576E-5</v>
          </cell>
          <cell r="F148">
            <v>2.44069856765196E-4</v>
          </cell>
          <cell r="G148">
            <v>8.4518131295860095E-5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0.10616884654419557</v>
          </cell>
          <cell r="E149">
            <v>0.12517002380608191</v>
          </cell>
          <cell r="F149">
            <v>0.12541408269250909</v>
          </cell>
          <cell r="G149">
            <v>7.1183722113330447E-2</v>
          </cell>
          <cell r="H149">
            <v>6.4013507816065062E-5</v>
          </cell>
          <cell r="I149">
            <v>8.6001942573556734E-6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0.26533355324458302</v>
          </cell>
          <cell r="E150">
            <v>0.27580092982044002</v>
          </cell>
          <cell r="F150">
            <v>0.27295472855734909</v>
          </cell>
          <cell r="G150">
            <v>2.9088860726042245E-2</v>
          </cell>
          <cell r="H150">
            <v>7.9799902911946372E-3</v>
          </cell>
          <cell r="I150">
            <v>1.8430692645459699E-3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2.2029864274061535E-3</v>
          </cell>
          <cell r="E151">
            <v>2.3122567741713246E-3</v>
          </cell>
          <cell r="F151">
            <v>2.2875194719513894E-3</v>
          </cell>
          <cell r="G151">
            <v>2.5042032829431903E-4</v>
          </cell>
          <cell r="H151">
            <v>6.5911282259904102E-5</v>
          </cell>
          <cell r="I151">
            <v>1.5351531710892552E-5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4.704495624903958E-3</v>
          </cell>
          <cell r="E152">
            <v>4.8900874081638191E-3</v>
          </cell>
          <cell r="F152">
            <v>4.839622846761509E-3</v>
          </cell>
          <cell r="G152">
            <v>5.1575994195110324E-4</v>
          </cell>
          <cell r="H152">
            <v>1.4148918956018855E-4</v>
          </cell>
          <cell r="I152">
            <v>3.2678533059325794E-5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3.46912203537842E-6</v>
          </cell>
          <cell r="F153">
            <v>2.9536155580519302E-6</v>
          </cell>
          <cell r="G153">
            <v>1.2689863554526E-6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1.5112174236928E-4</v>
          </cell>
          <cell r="E154">
            <v>1.6186128502642923E-4</v>
          </cell>
          <cell r="F154">
            <v>1.6296762104824679E-4</v>
          </cell>
          <cell r="G154">
            <v>1.7453251252564581E-5</v>
          </cell>
          <cell r="H154">
            <v>5.1555079396152925E-6</v>
          </cell>
          <cell r="I154">
            <v>1.2158130648662632E-6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2.7353792739683209</v>
          </cell>
          <cell r="E155">
            <v>2.662870272727309</v>
          </cell>
          <cell r="F155">
            <v>2.4769209652469026</v>
          </cell>
          <cell r="G155">
            <v>5.667781443716117E-3</v>
          </cell>
          <cell r="H155">
            <v>7.4678447589848415E-3</v>
          </cell>
          <cell r="I155">
            <v>1.7200040539890301E-3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3.3110288711948009E-2</v>
          </cell>
          <cell r="E156">
            <v>3.2203312660690139E-2</v>
          </cell>
          <cell r="F156">
            <v>2.9935222932312749E-2</v>
          </cell>
          <cell r="G156">
            <v>4.9102800805499439E-5</v>
          </cell>
          <cell r="H156">
            <v>6.2172234988971424E-5</v>
          </cell>
          <cell r="I156">
            <v>1.4458772974271456E-5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4.8499632517168732E-2</v>
          </cell>
          <cell r="E157">
            <v>4.7214011927789255E-2</v>
          </cell>
          <cell r="F157">
            <v>4.3917038390902483E-2</v>
          </cell>
          <cell r="G157">
            <v>1.0049257878929294E-4</v>
          </cell>
          <cell r="H157">
            <v>1.3240859501746188E-4</v>
          </cell>
          <cell r="I157">
            <v>3.0496525779947288E-5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3.6537361151613201E-6</v>
          </cell>
          <cell r="F158">
            <v>3.3004471707630001E-6</v>
          </cell>
          <cell r="G158">
            <v>1.32887962379543E-6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2.6074482428115001E-3</v>
          </cell>
          <cell r="E159">
            <v>2.5372114764592242E-3</v>
          </cell>
          <cell r="F159">
            <v>2.363645247587432E-3</v>
          </cell>
          <cell r="G159">
            <v>4.1772796354590594E-6</v>
          </cell>
          <cell r="H159">
            <v>5.6959502225827233E-6</v>
          </cell>
          <cell r="I159">
            <v>1.3432348358592821E-6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2.8123919297548001E-2</v>
          </cell>
          <cell r="F160">
            <v>8.9032694280795993E-2</v>
          </cell>
          <cell r="G160">
            <v>0.1212643278620066</v>
          </cell>
          <cell r="H160">
            <v>6.4013720117655853E-2</v>
          </cell>
          <cell r="I160">
            <v>1.700473418647314E-2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1.9754434362017573E-4</v>
          </cell>
          <cell r="F161">
            <v>6.558998436155916E-4</v>
          </cell>
          <cell r="G161">
            <v>9.3316612742438141E-4</v>
          </cell>
          <cell r="H161">
            <v>5.8334818029252497E-4</v>
          </cell>
          <cell r="I161">
            <v>1.6766712333642544E-4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3.8108291731094843E-4</v>
          </cell>
          <cell r="F162">
            <v>1.2064050715555018E-3</v>
          </cell>
          <cell r="G162">
            <v>1.6431480740109305E-3</v>
          </cell>
          <cell r="H162">
            <v>8.6739458154005131E-4</v>
          </cell>
          <cell r="I162">
            <v>2.3041645239123447E-4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2.44935244186109E-5</v>
          </cell>
          <cell r="F163">
            <v>7.3432850026481099E-5</v>
          </cell>
          <cell r="G163">
            <v>5.52260190110133E-5</v>
          </cell>
          <cell r="H163">
            <v>3.4584663000519299E-5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2.4167438431512799E-5</v>
          </cell>
          <cell r="F164">
            <v>9.5239353510193694E-5</v>
          </cell>
          <cell r="G164">
            <v>1.3435257123307299E-4</v>
          </cell>
          <cell r="H164">
            <v>8.4187833583057695E-5</v>
          </cell>
          <cell r="I164">
            <v>2.4440554191086999E-5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2.8832315767707572E-2</v>
          </cell>
          <cell r="G165">
            <v>3.0543631535415186E-2</v>
          </cell>
          <cell r="H165">
            <v>3.2006602244411902E-2</v>
          </cell>
          <cell r="I165">
            <v>3.3071687199031086E-2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0.35149986092475399</v>
          </cell>
          <cell r="G166">
            <v>0.45078090930791764</v>
          </cell>
          <cell r="H166">
            <v>0.47237229295618205</v>
          </cell>
          <cell r="I166">
            <v>0.48809144422268164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2.6594682812650299E-2</v>
          </cell>
          <cell r="F167">
            <v>8.0417029223879194E-2</v>
          </cell>
          <cell r="G167">
            <v>0.109026239100801</v>
          </cell>
          <cell r="H167">
            <v>7.1405131470488534E-2</v>
          </cell>
          <cell r="I167">
            <v>2.0959002302874931E-2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1.5039225102773149E-4</v>
          </cell>
          <cell r="F168">
            <v>4.7669592436553351E-4</v>
          </cell>
          <cell r="G168">
            <v>6.7674093289617524E-4</v>
          </cell>
          <cell r="H168">
            <v>5.4069744122707249E-4</v>
          </cell>
          <cell r="I168">
            <v>1.6876526687157305E-4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3.6036155572696929E-4</v>
          </cell>
          <cell r="F169">
            <v>1.0896616425999897E-3</v>
          </cell>
          <cell r="G169">
            <v>1.4773203130189862E-3</v>
          </cell>
          <cell r="H169">
            <v>9.6754920691718765E-4</v>
          </cell>
          <cell r="I169">
            <v>2.8399732117716665E-4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1.27911207411328E-5</v>
          </cell>
          <cell r="F170">
            <v>2.95503654498081E-5</v>
          </cell>
          <cell r="G170">
            <v>2.2369950142287499E-5</v>
          </cell>
          <cell r="H170">
            <v>2.2059710227135699E-5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1.2620830620296E-5</v>
          </cell>
          <cell r="F171">
            <v>4.1055387879555703E-5</v>
          </cell>
          <cell r="G171">
            <v>5.6395512305404402E-5</v>
          </cell>
          <cell r="H171">
            <v>5.0246527693917398E-5</v>
          </cell>
          <cell r="I171">
            <v>1.6443693676312099E-5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2.0581736760619699E-2</v>
          </cell>
          <cell r="F172">
            <v>6.2117196594996593E-2</v>
          </cell>
          <cell r="G172">
            <v>8.4430263452169002E-2</v>
          </cell>
          <cell r="H172">
            <v>5.1851093908596962E-2</v>
          </cell>
          <cell r="I172">
            <v>1.5228620581637389E-2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1.5781262797114076E-4</v>
          </cell>
          <cell r="F173">
            <v>4.9480488563723179E-4</v>
          </cell>
          <cell r="G173">
            <v>6.9745594390222725E-4</v>
          </cell>
          <cell r="H173">
            <v>4.9946711322257722E-4</v>
          </cell>
          <cell r="I173">
            <v>1.5557093938544845E-4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2.8078767749822273E-4</v>
          </cell>
          <cell r="F174">
            <v>8.4743787987717073E-4</v>
          </cell>
          <cell r="G174">
            <v>1.1518453404115812E-3</v>
          </cell>
          <cell r="H174">
            <v>7.0738190871210023E-4</v>
          </cell>
          <cell r="I174">
            <v>2.0775744313284214E-4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2.0025893718393899E-5</v>
          </cell>
          <cell r="F175">
            <v>5.3028952523077802E-5</v>
          </cell>
          <cell r="G175">
            <v>3.9715458842974299E-5</v>
          </cell>
          <cell r="H175">
            <v>3.2526390096099303E-5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1.9759285973053501E-5</v>
          </cell>
          <cell r="F176">
            <v>7.0951260553696503E-5</v>
          </cell>
          <cell r="G176">
            <v>9.8610746877618799E-5</v>
          </cell>
          <cell r="H176">
            <v>7.1724311677252901E-5</v>
          </cell>
          <cell r="I176">
            <v>2.2566267088560399E-5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3.59096313052715E-2</v>
          </cell>
          <cell r="F177">
            <v>8.353970949665071E-2</v>
          </cell>
          <cell r="G177">
            <v>0.10806923556483179</v>
          </cell>
          <cell r="H177">
            <v>7.7431885064075001E-2</v>
          </cell>
          <cell r="I177">
            <v>2.2625123048770991E-2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1.8877854233112883E-4</v>
          </cell>
          <cell r="F178">
            <v>4.5800258473013247E-4</v>
          </cell>
          <cell r="G178">
            <v>6.2011242241734993E-4</v>
          </cell>
          <cell r="H178">
            <v>5.5088360683443758E-4</v>
          </cell>
          <cell r="I178">
            <v>1.6997180668957448E-4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4.8658036999012872E-4</v>
          </cell>
          <cell r="F179">
            <v>1.1319743834234518E-3</v>
          </cell>
          <cell r="G179">
            <v>1.4643527854313252E-3</v>
          </cell>
          <cell r="H179">
            <v>1.0492125347435633E-3</v>
          </cell>
          <cell r="I179">
            <v>3.0657348304567711E-4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1.4028039536274E-5</v>
          </cell>
          <cell r="F180">
            <v>2.2140334856645499E-5</v>
          </cell>
          <cell r="G180">
            <v>1.7399413365016801E-5</v>
          </cell>
          <cell r="H180">
            <v>2.0277890642255299E-5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1.3841282128844201E-5</v>
          </cell>
          <cell r="F181">
            <v>3.4894602614239503E-5</v>
          </cell>
          <cell r="G181">
            <v>4.6178701255348499E-5</v>
          </cell>
          <cell r="H181">
            <v>4.4104654980945602E-5</v>
          </cell>
          <cell r="I181">
            <v>1.49829922275181E-5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2.0140098141448601E-2</v>
          </cell>
          <cell r="F182">
            <v>6.14556320140099E-2</v>
          </cell>
          <cell r="G182">
            <v>8.3387074789490895E-2</v>
          </cell>
          <cell r="H182">
            <v>5.7665303501869741E-2</v>
          </cell>
          <cell r="I182">
            <v>1.7535144452172281E-2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1.2422056926631706E-4</v>
          </cell>
          <cell r="F183">
            <v>3.941071902512003E-4</v>
          </cell>
          <cell r="G183">
            <v>5.5568080766172148E-4</v>
          </cell>
          <cell r="H183">
            <v>4.5698295909180092E-4</v>
          </cell>
          <cell r="I183">
            <v>1.4620223923310274E-4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2.747625940170337E-4</v>
          </cell>
          <cell r="F184">
            <v>8.3841244221023064E-4</v>
          </cell>
          <cell r="G184">
            <v>1.1376135714800946E-3</v>
          </cell>
          <cell r="H184">
            <v>7.8670263986179768E-4</v>
          </cell>
          <cell r="I184">
            <v>2.3922434450439703E-4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1.0744595116998799E-5</v>
          </cell>
          <cell r="F185">
            <v>2.38884619992321E-5</v>
          </cell>
          <cell r="G185">
            <v>1.7862629407796301E-5</v>
          </cell>
          <cell r="H185">
            <v>1.89828989752644E-5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1.0601550700653599E-5</v>
          </cell>
          <cell r="F186">
            <v>3.3565163206476397E-5</v>
          </cell>
          <cell r="G186">
            <v>4.5682217947365099E-5</v>
          </cell>
          <cell r="H186">
            <v>4.2101434254912102E-5</v>
          </cell>
          <cell r="I186">
            <v>1.4010423874497599E-5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4.72161420512755E-2</v>
          </cell>
          <cell r="F187">
            <v>0.10781786286481129</v>
          </cell>
          <cell r="G187">
            <v>0.13914398476989609</v>
          </cell>
          <cell r="H187">
            <v>0.11364715234911243</v>
          </cell>
          <cell r="I187">
            <v>3.8046874382171962E-2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2.516432194387364E-4</v>
          </cell>
          <cell r="F188">
            <v>5.9862905897753969E-4</v>
          </cell>
          <cell r="G188">
            <v>8.068123994043469E-4</v>
          </cell>
          <cell r="H188">
            <v>8.2249109774636055E-4</v>
          </cell>
          <cell r="I188">
            <v>2.8866542391216927E-4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6.3978512264601002E-4</v>
          </cell>
          <cell r="F189">
            <v>1.4609466512847072E-3</v>
          </cell>
          <cell r="G189">
            <v>1.8854198478305702E-3</v>
          </cell>
          <cell r="H189">
            <v>1.5399343136736096E-3</v>
          </cell>
          <cell r="I189">
            <v>5.1554030328146297E-4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2.1134197467953899E-5</v>
          </cell>
          <cell r="F190">
            <v>3.3765080772449702E-5</v>
          </cell>
          <cell r="G190">
            <v>2.5518560999839501E-5</v>
          </cell>
          <cell r="H190">
            <v>4.6105799310645998E-5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2.0852834707532599E-5</v>
          </cell>
          <cell r="F191">
            <v>5.2974807080714697E-5</v>
          </cell>
          <cell r="G191">
            <v>6.9267476671081105E-5</v>
          </cell>
          <cell r="H191">
            <v>8.0890167965641294E-5</v>
          </cell>
          <cell r="I191">
            <v>3.0366141028270202E-5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2.5414224156604499E-2</v>
          </cell>
          <cell r="F192">
            <v>6.1469541607510197E-2</v>
          </cell>
          <cell r="G192">
            <v>8.0238848580176395E-2</v>
          </cell>
          <cell r="H192">
            <v>6.0798769944377676E-2</v>
          </cell>
          <cell r="I192">
            <v>1.8473978355658352E-2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1.4571798303645954E-4</v>
          </cell>
          <cell r="F193">
            <v>3.6519351954571627E-4</v>
          </cell>
          <cell r="G193">
            <v>4.953391836540487E-4</v>
          </cell>
          <cell r="H193">
            <v>4.5157427471202293E-4</v>
          </cell>
          <cell r="I193">
            <v>1.4365370682555651E-4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3.467151999536766E-4</v>
          </cell>
          <cell r="F194">
            <v>8.3860220474092878E-4</v>
          </cell>
          <cell r="G194">
            <v>1.0946636914075905E-3</v>
          </cell>
          <cell r="H194">
            <v>8.2945115885917748E-4</v>
          </cell>
          <cell r="I194">
            <v>2.5203244687119165E-4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1.0987573172552699E-5</v>
          </cell>
          <cell r="F195">
            <v>1.7860388998343101E-5</v>
          </cell>
          <cell r="G195">
            <v>1.38351120875222E-5</v>
          </cell>
          <cell r="H195">
            <v>1.6713932811218101E-5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1.08412939526842E-5</v>
          </cell>
          <cell r="F196">
            <v>2.7843363515360301E-5</v>
          </cell>
          <cell r="G196">
            <v>3.6816014861797402E-5</v>
          </cell>
          <cell r="H196">
            <v>3.5993875692329799E-5</v>
          </cell>
          <cell r="I196">
            <v>1.2310737569113801E-5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0.16470066304456699</v>
          </cell>
          <cell r="F197">
            <v>0.18890591746061308</v>
          </cell>
          <cell r="H197">
            <v>4.5423265002166599E-4</v>
          </cell>
          <cell r="I197">
            <v>1.7338797284809299E-4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3.6515844601060446E-4</v>
          </cell>
          <cell r="F198">
            <v>4.2183702426020983E-4</v>
          </cell>
          <cell r="H198">
            <v>1.2681854427716744E-6</v>
          </cell>
          <cell r="I198">
            <v>4.8408696095966162E-7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2.2469394685479794E-3</v>
          </cell>
          <cell r="F199">
            <v>2.577161220472204E-3</v>
          </cell>
          <cell r="H199">
            <v>6.1968983631878025E-6</v>
          </cell>
          <cell r="I199">
            <v>2.3654566554992205E-6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8.0877055439635906E-6</v>
          </cell>
          <cell r="F200">
            <v>1.4948293102647199E-6</v>
          </cell>
          <cell r="H200">
            <v>4.6799086521858701E-8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8.0877055439635906E-6</v>
          </cell>
          <cell r="F201">
            <v>9.5572544275652978E-6</v>
          </cell>
          <cell r="G201">
            <v>1.1750595495780319E-8</v>
          </cell>
          <cell r="H201">
            <v>4.6094002598067302E-8</v>
          </cell>
          <cell r="I201">
            <v>2.8160261135778299E-8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2.1551402909404799E-2</v>
          </cell>
          <cell r="F202">
            <v>4.9484800113511904E-2</v>
          </cell>
          <cell r="G202">
            <v>6.3632184451562199E-2</v>
          </cell>
          <cell r="H202">
            <v>4.7845591490429287E-2</v>
          </cell>
          <cell r="I202">
            <v>1.500455365211496E-2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1.174401625609056E-4</v>
          </cell>
          <cell r="F203">
            <v>2.7896407056578291E-4</v>
          </cell>
          <cell r="G203">
            <v>3.7234395626717707E-4</v>
          </cell>
          <cell r="H203">
            <v>3.3566058781687736E-4</v>
          </cell>
          <cell r="I203">
            <v>1.1012312387567018E-4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2.9401641076950568E-4</v>
          </cell>
          <cell r="F204">
            <v>6.7509959227165053E-4</v>
          </cell>
          <cell r="G204">
            <v>8.6810619988488837E-4</v>
          </cell>
          <cell r="H204">
            <v>6.5273658240694841E-4</v>
          </cell>
          <cell r="I204">
            <v>2.0470059552680678E-4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1.02162080309471E-5</v>
          </cell>
          <cell r="F205">
            <v>1.5596289330606001E-5</v>
          </cell>
          <cell r="G205">
            <v>1.1980505533303701E-5</v>
          </cell>
          <cell r="H205">
            <v>1.47562242067039E-5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1.00801981116216E-5</v>
          </cell>
          <cell r="F206">
            <v>2.4891874430261299E-5</v>
          </cell>
          <cell r="G206">
            <v>3.2517555686105299E-5</v>
          </cell>
          <cell r="H206">
            <v>3.1682815727931003E-5</v>
          </cell>
          <cell r="I206">
            <v>1.0871400910635E-5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1.70867605608023E-2</v>
          </cell>
          <cell r="F207">
            <v>3.0358834175313702E-2</v>
          </cell>
          <cell r="H207">
            <v>7.1839255862913805E-4</v>
          </cell>
          <cell r="I207">
            <v>2.6566062634179199E-4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2.7155579306294893E-5</v>
          </cell>
          <cell r="F208">
            <v>4.9296893259231567E-5</v>
          </cell>
          <cell r="H208">
            <v>1.4374920483083598E-6</v>
          </cell>
          <cell r="I208">
            <v>5.3158267485909127E-7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2.3310723821012638E-4</v>
          </cell>
          <cell r="F209">
            <v>4.1417236255543986E-4</v>
          </cell>
          <cell r="H209">
            <v>9.8007170345039319E-6</v>
          </cell>
          <cell r="I209">
            <v>3.624292310256366E-6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6.4393354849831396E-7</v>
          </cell>
          <cell r="F210">
            <v>5.1289822869395495E-7</v>
          </cell>
          <cell r="H210">
            <v>5.0155259075284402E-8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6.4393354849831396E-7</v>
          </cell>
          <cell r="F211">
            <v>1.15683177719227E-6</v>
          </cell>
          <cell r="G211">
            <v>1.4890059336300137E-8</v>
          </cell>
          <cell r="H211">
            <v>3.0633008462065403E-8</v>
          </cell>
          <cell r="I211">
            <v>2.5153127746402099E-8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0.41619669051238956</v>
          </cell>
          <cell r="E212">
            <v>2.8541783626684698E-2</v>
          </cell>
          <cell r="F212">
            <v>0.27746306732419873</v>
          </cell>
          <cell r="G212">
            <v>0.13873206028169188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0.46789328662571289</v>
          </cell>
          <cell r="E213">
            <v>2.9825927928584552E-2</v>
          </cell>
          <cell r="F213">
            <v>0.26222877328753436</v>
          </cell>
          <cell r="G213">
            <v>0.1130956630652535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2.8026653062109011E-2</v>
          </cell>
          <cell r="G214">
            <v>1.40133333333333E-2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9207.0404158223901</v>
          </cell>
          <cell r="E215">
            <v>8259.8869841585692</v>
          </cell>
          <cell r="F215">
            <v>6174.7872902832996</v>
          </cell>
          <cell r="G215">
            <v>3520.7807274709899</v>
          </cell>
          <cell r="H215">
            <v>2271.4733606159002</v>
          </cell>
          <cell r="I215">
            <v>954.28523395634897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123.76170239590581</v>
          </cell>
          <cell r="E216">
            <v>111.02999754410665</v>
          </cell>
          <cell r="F216">
            <v>83.001936829208987</v>
          </cell>
          <cell r="G216">
            <v>47.326588883620666</v>
          </cell>
          <cell r="H216">
            <v>30.533309007057625</v>
          </cell>
          <cell r="I216">
            <v>12.827571053424519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125.60764550917312</v>
          </cell>
          <cell r="E217">
            <v>112.6860434400897</v>
          </cell>
          <cell r="F217">
            <v>84.239935747384777</v>
          </cell>
          <cell r="G217">
            <v>48.032479228799374</v>
          </cell>
          <cell r="H217">
            <v>30.988722518634422</v>
          </cell>
          <cell r="I217">
            <v>13.018898144015665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1.08602178646739E-2</v>
          </cell>
          <cell r="F218">
            <v>1.8771970527890328E-2</v>
          </cell>
          <cell r="G218">
            <v>6.2281272664822807E-4</v>
          </cell>
          <cell r="H218">
            <v>6.5127474165057101E-5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1.1591516216787466E-5</v>
          </cell>
          <cell r="F219">
            <v>2.0454020748915702E-5</v>
          </cell>
          <cell r="G219">
            <v>6.9206800000193195E-7</v>
          </cell>
          <cell r="H219">
            <v>8.7723946716977895E-8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1.4816122598463764E-4</v>
          </cell>
          <cell r="F220">
            <v>2.5609782439141028E-4</v>
          </cell>
          <cell r="G220">
            <v>8.4967629829226165E-6</v>
          </cell>
          <cell r="H220">
            <v>8.8850578669927808E-7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2.8183987031293902E-7</v>
          </cell>
          <cell r="F221">
            <v>2.10784684294148E-7</v>
          </cell>
          <cell r="G221">
            <v>1.5472568488763902E-8</v>
          </cell>
          <cell r="H221">
            <v>1.223220665875E-8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2.8183987031293902E-7</v>
          </cell>
          <cell r="F222">
            <v>4.9262455460708596E-7</v>
          </cell>
          <cell r="G222">
            <v>5.3333276243351018E-8</v>
          </cell>
          <cell r="H222">
            <v>1.223220665875E-8</v>
          </cell>
          <cell r="I222">
            <v>4.18979067518951E-9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0.11483233830856043</v>
          </cell>
          <cell r="E223">
            <v>0.28061732346761364</v>
          </cell>
          <cell r="F223">
            <v>0.53563215288524069</v>
          </cell>
          <cell r="G223">
            <v>1.1261997282815843</v>
          </cell>
          <cell r="H223">
            <v>1.8318503588236981</v>
          </cell>
          <cell r="I223">
            <v>4.4716955853338964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0.11483233830856043</v>
          </cell>
          <cell r="E224">
            <v>0.28061732346761364</v>
          </cell>
          <cell r="F224">
            <v>0.53563215288524069</v>
          </cell>
          <cell r="G224">
            <v>1.1261997282815841</v>
          </cell>
          <cell r="H224">
            <v>1.8318503588236978</v>
          </cell>
          <cell r="I224">
            <v>4.4716955853338964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0.11484518331580224</v>
          </cell>
          <cell r="E225">
            <v>0.28065276113399651</v>
          </cell>
          <cell r="F225">
            <v>0.53570373264395421</v>
          </cell>
          <cell r="G225">
            <v>1.1263285904876406</v>
          </cell>
          <cell r="H225">
            <v>1.8320463011918404</v>
          </cell>
          <cell r="I225">
            <v>4.4721539124787135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0.11484518331580224</v>
          </cell>
          <cell r="E226">
            <v>0.28065276113399651</v>
          </cell>
          <cell r="F226">
            <v>0.53570373264395421</v>
          </cell>
          <cell r="G226">
            <v>1.1263285904876406</v>
          </cell>
          <cell r="H226">
            <v>1.8320463011918404</v>
          </cell>
          <cell r="I226">
            <v>4.4721539124787135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1.67006637217606</v>
          </cell>
          <cell r="E227">
            <v>2.5881068871623998</v>
          </cell>
          <cell r="F227">
            <v>7.6587509927797299</v>
          </cell>
          <cell r="G227">
            <v>11.1914795680542</v>
          </cell>
          <cell r="H227">
            <v>8.2884744235037608</v>
          </cell>
          <cell r="I227">
            <v>19.913027778523102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1.67006637217606</v>
          </cell>
          <cell r="E228">
            <v>4.1749009746393</v>
          </cell>
          <cell r="F228">
            <v>11.47036199069117</v>
          </cell>
          <cell r="G228">
            <v>20.343393828363926</v>
          </cell>
          <cell r="H228">
            <v>23.252359491303928</v>
          </cell>
          <cell r="I228">
            <v>24.219604465517335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2.4547564882662302E-3</v>
          </cell>
          <cell r="F229">
            <v>4.5800112929791801E-3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1.7666021717503392E-6</v>
          </cell>
          <cell r="F230">
            <v>3.3657565003743875E-6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3.3489174464750715E-5</v>
          </cell>
          <cell r="F231">
            <v>6.248310085919745E-5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6.2248387874747895E-8</v>
          </cell>
          <cell r="F232">
            <v>5.5320053423774702E-8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6.2248387874747895E-8</v>
          </cell>
          <cell r="F233">
            <v>1.1756844129852299E-7</v>
          </cell>
          <cell r="G233">
            <v>1.0277165160859798E-8</v>
          </cell>
          <cell r="H233">
            <v>-1.35351359904287E-8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1410.2063514413101</v>
          </cell>
          <cell r="E234">
            <v>1167.2897542179001</v>
          </cell>
          <cell r="F234">
            <v>838.50302953890696</v>
          </cell>
          <cell r="G234">
            <v>356.402304591438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1.5766926943424626</v>
          </cell>
          <cell r="E235">
            <v>1.3376250483600163</v>
          </cell>
          <cell r="F235">
            <v>0.99590862258860402</v>
          </cell>
          <cell r="G235">
            <v>0.42330691213870392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19.238831533987891</v>
          </cell>
          <cell r="E236">
            <v>15.92482611484175</v>
          </cell>
          <cell r="F236">
            <v>11.439331917311151</v>
          </cell>
          <cell r="G236">
            <v>4.8622415360359943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1.9774666666666701E-2</v>
          </cell>
          <cell r="G237">
            <v>9.8873333333333296E-3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1.5950992190806199</v>
          </cell>
          <cell r="F238">
            <v>9.6338374151275403E-5</v>
          </cell>
          <cell r="G238">
            <v>5.7153002286539203E-5</v>
          </cell>
          <cell r="H238">
            <v>1.2534239432821301E-4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129.87282541001699</v>
          </cell>
          <cell r="F239">
            <v>7.8438611822811699E-3</v>
          </cell>
          <cell r="G239">
            <v>4.6533919638530397E-3</v>
          </cell>
          <cell r="H239">
            <v>1.02053657229198E-2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1.7597943822495519</v>
          </cell>
          <cell r="F240">
            <v>1.0628538187372821E-4</v>
          </cell>
          <cell r="G240">
            <v>6.3054091651125162E-5</v>
          </cell>
          <cell r="H240">
            <v>1.3828408838644667E-4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1.2016764051276601E-6</v>
          </cell>
          <cell r="E241">
            <v>3.8890201710903301E-6</v>
          </cell>
          <cell r="F241">
            <v>9.8212705825190606E-6</v>
          </cell>
          <cell r="G241">
            <v>4.3448188719810004E-6</v>
          </cell>
          <cell r="H241">
            <v>2.5692410923656698E-5</v>
          </cell>
          <cell r="I241">
            <v>1.41407169763973E-6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1.595112549893595</v>
          </cell>
          <cell r="E242">
            <v>1.5951164389137662</v>
          </cell>
          <cell r="F242">
            <v>1.0308565953853766E-4</v>
          </cell>
          <cell r="G242">
            <v>6.3052548960662591E-5</v>
          </cell>
          <cell r="H242">
            <v>8.6896786009482696E-5</v>
          </cell>
          <cell r="I242">
            <v>6.0475119173845996E-6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0.57062830787235641</v>
          </cell>
          <cell r="E243">
            <v>0.59222882678016298</v>
          </cell>
          <cell r="F243">
            <v>2.2385787725644115</v>
          </cell>
          <cell r="G243">
            <v>7.0218272745635577</v>
          </cell>
          <cell r="H243">
            <v>12.211892621015803</v>
          </cell>
          <cell r="I243">
            <v>12.264937071216517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0.57062830787235641</v>
          </cell>
          <cell r="E244">
            <v>0.59222882678016298</v>
          </cell>
          <cell r="F244">
            <v>2.2385787725644115</v>
          </cell>
          <cell r="G244">
            <v>7.0218272745635577</v>
          </cell>
          <cell r="H244">
            <v>12.211892621015803</v>
          </cell>
          <cell r="I244">
            <v>12.264937071216517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0.57068650976429725</v>
          </cell>
          <cell r="E245">
            <v>0.59229403769249911</v>
          </cell>
          <cell r="F245">
            <v>2.2388185558644107</v>
          </cell>
          <cell r="G245">
            <v>7.0225411457935181</v>
          </cell>
          <cell r="H245">
            <v>12.213126826169029</v>
          </cell>
          <cell r="I245">
            <v>12.266174793931896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0.57068650976429725</v>
          </cell>
          <cell r="E246">
            <v>0.59229403769249911</v>
          </cell>
          <cell r="F246">
            <v>2.2388185558644107</v>
          </cell>
          <cell r="G246">
            <v>7.0225411457935181</v>
          </cell>
          <cell r="H246">
            <v>12.213126826169029</v>
          </cell>
          <cell r="I246">
            <v>12.266174793931896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8.05763593908204</v>
          </cell>
          <cell r="E247">
            <v>1.7189501883697701E-2</v>
          </cell>
          <cell r="F247">
            <v>26.507707403320399</v>
          </cell>
          <cell r="G247">
            <v>79.945258124654401</v>
          </cell>
          <cell r="H247">
            <v>81.978223231945094</v>
          </cell>
          <cell r="I247">
            <v>178.762604833502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8.05763593908204</v>
          </cell>
          <cell r="E248">
            <v>7.8391292801176116</v>
          </cell>
          <cell r="F248">
            <v>33.444127245456052</v>
          </cell>
          <cell r="G248">
            <v>104.40688065460326</v>
          </cell>
          <cell r="H248">
            <v>253.0220006551026</v>
          </cell>
          <cell r="I248">
            <v>235.30331450223701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0.54000243581616836</v>
          </cell>
          <cell r="E249">
            <v>1.1924786871402595</v>
          </cell>
          <cell r="F249">
            <v>14.131169997672323</v>
          </cell>
          <cell r="G249">
            <v>36.024784291311221</v>
          </cell>
          <cell r="H249">
            <v>68.131649092584965</v>
          </cell>
          <cell r="I249">
            <v>16.126130416849787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1.3960187117829129E-2</v>
          </cell>
          <cell r="E250">
            <v>3.0882876478559404E-2</v>
          </cell>
          <cell r="F250">
            <v>0.37321562759435045</v>
          </cell>
          <cell r="G250">
            <v>0.96845355298272251</v>
          </cell>
          <cell r="H250">
            <v>1.9038726258522249</v>
          </cell>
          <cell r="I250">
            <v>0.45347163810331154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7.317106176370841E-3</v>
          </cell>
          <cell r="E251">
            <v>1.6158247793228435E-2</v>
          </cell>
          <cell r="F251">
            <v>0.19147926826114331</v>
          </cell>
          <cell r="G251">
            <v>0.48814070855435254</v>
          </cell>
          <cell r="H251">
            <v>0.9231930771352973</v>
          </cell>
          <cell r="I251">
            <v>0.21851125226083765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1.0164642645809E-4</v>
          </cell>
          <cell r="F252">
            <v>0.117908677915868</v>
          </cell>
          <cell r="G252">
            <v>0.265922762341605</v>
          </cell>
          <cell r="H252">
            <v>0.27735345311707399</v>
          </cell>
          <cell r="I252">
            <v>1.7052925145147099E-4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6.6950594432368983E-3</v>
          </cell>
          <cell r="E253">
            <v>1.0644534999479691E-2</v>
          </cell>
          <cell r="F253">
            <v>0.12855395836272682</v>
          </cell>
          <cell r="G253">
            <v>0.39205399193587959</v>
          </cell>
          <cell r="H253">
            <v>0.77606646889319175</v>
          </cell>
          <cell r="I253">
            <v>0.21851742884532085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16.3022670623659</v>
          </cell>
          <cell r="F254">
            <v>11.990431622987201</v>
          </cell>
          <cell r="G254">
            <v>5.0165368002119699</v>
          </cell>
          <cell r="H254">
            <v>16.151319410210199</v>
          </cell>
          <cell r="I254">
            <v>16.1510230598895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1209.1396495889401</v>
          </cell>
          <cell r="F255">
            <v>889.33068238760904</v>
          </cell>
          <cell r="G255">
            <v>372.07668881594498</v>
          </cell>
          <cell r="H255">
            <v>1197.9438575843301</v>
          </cell>
          <cell r="I255">
            <v>1197.92187727193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16.495766024405693</v>
          </cell>
          <cell r="F256">
            <v>12.132751465042347</v>
          </cell>
          <cell r="G256">
            <v>5.076080338553135</v>
          </cell>
          <cell r="H256">
            <v>16.343026706471122</v>
          </cell>
          <cell r="I256">
            <v>16.342726838634771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7.3796757449096504E-7</v>
          </cell>
          <cell r="E257">
            <v>1.13156722570354E-5</v>
          </cell>
          <cell r="F257">
            <v>4.7765416390966802E-6</v>
          </cell>
          <cell r="G257">
            <v>3.9559848648954799E-6</v>
          </cell>
          <cell r="H257">
            <v>14.193505133273</v>
          </cell>
          <cell r="I257">
            <v>1.9575058742484399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17.176522656975276</v>
          </cell>
          <cell r="E258">
            <v>17.176533972647533</v>
          </cell>
          <cell r="F258">
            <v>15.301532265532151</v>
          </cell>
          <cell r="G258">
            <v>10.301532770764457</v>
          </cell>
          <cell r="H258">
            <v>16.151279975700607</v>
          </cell>
          <cell r="I258">
            <v>16.151012702266005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0.56887449749192331</v>
          </cell>
          <cell r="E259">
            <v>0.57632712683362131</v>
          </cell>
          <cell r="F259">
            <v>0.54317447313980616</v>
          </cell>
          <cell r="G259">
            <v>0.52390491971046149</v>
          </cell>
          <cell r="H259">
            <v>0.91843580544959591</v>
          </cell>
          <cell r="I259">
            <v>4.9202862376058158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0.5688744974919232</v>
          </cell>
          <cell r="E260">
            <v>0.57632712683362119</v>
          </cell>
          <cell r="F260">
            <v>0.54317447313980605</v>
          </cell>
          <cell r="G260">
            <v>0.52390491971046149</v>
          </cell>
          <cell r="H260">
            <v>0.9184358054495958</v>
          </cell>
          <cell r="I260">
            <v>4.920286237605815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0.56893225850082696</v>
          </cell>
          <cell r="E261">
            <v>0.57639067533535582</v>
          </cell>
          <cell r="F261">
            <v>0.54324459094351518</v>
          </cell>
          <cell r="G261">
            <v>0.52396881117717842</v>
          </cell>
          <cell r="H261">
            <v>0.91853972333124334</v>
          </cell>
          <cell r="I261">
            <v>4.9207893470047273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0.56893225850082696</v>
          </cell>
          <cell r="E262">
            <v>0.57639067533535582</v>
          </cell>
          <cell r="F262">
            <v>0.54324459094351518</v>
          </cell>
          <cell r="G262">
            <v>0.52396881117717842</v>
          </cell>
          <cell r="H262">
            <v>0.91853972333124334</v>
          </cell>
          <cell r="I262">
            <v>4.9207893470047273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7.9599841840424403</v>
          </cell>
          <cell r="E263">
            <v>2.8389049539262901E-2</v>
          </cell>
          <cell r="F263">
            <v>6.6632465531240401E-2</v>
          </cell>
          <cell r="G263">
            <v>0.10848669806659</v>
          </cell>
          <cell r="H263">
            <v>1.0698186002879599</v>
          </cell>
          <cell r="I263">
            <v>62.594082460729403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7.9599841840424403</v>
          </cell>
          <cell r="E264">
            <v>7.7551543482523355</v>
          </cell>
          <cell r="F264">
            <v>7.2765309567244731</v>
          </cell>
          <cell r="G264">
            <v>5.72668837452765</v>
          </cell>
          <cell r="H264">
            <v>6.6989636768720704</v>
          </cell>
          <cell r="I264">
            <v>55.608672302250532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1.6338487723941209</v>
          </cell>
          <cell r="E265">
            <v>5.9901795619056717</v>
          </cell>
          <cell r="F265">
            <v>5.3779086118822326</v>
          </cell>
          <cell r="G265">
            <v>4.3204232156616458</v>
          </cell>
          <cell r="H265">
            <v>3.7160263640569791E-2</v>
          </cell>
          <cell r="I265">
            <v>1.7371785903462979E-2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2.4413928846491746E-2</v>
          </cell>
          <cell r="E266">
            <v>8.9758364733297805E-2</v>
          </cell>
          <cell r="F266">
            <v>8.0591618592897651E-2</v>
          </cell>
          <cell r="G266">
            <v>6.4752466060470304E-2</v>
          </cell>
          <cell r="H266">
            <v>5.9446733564008072E-4</v>
          </cell>
          <cell r="I266">
            <v>2.850589931907938E-4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2.2138872254662947E-2</v>
          </cell>
          <cell r="E267">
            <v>8.116774474126924E-2</v>
          </cell>
          <cell r="F267">
            <v>7.2871390404908254E-2</v>
          </cell>
          <cell r="G267">
            <v>5.8542319995415211E-2</v>
          </cell>
          <cell r="H267">
            <v>5.0352660759579585E-4</v>
          </cell>
          <cell r="I267">
            <v>2.3539005289245204E-4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5.0418258321098599E-5</v>
          </cell>
          <cell r="F268">
            <v>9.0098150333768604E-5</v>
          </cell>
          <cell r="G268">
            <v>1.0230450623033E-4</v>
          </cell>
          <cell r="H268">
            <v>7.4712683362299106E-5</v>
          </cell>
          <cell r="I268">
            <v>3.4286278774070902E-5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1.17559161531815E-2</v>
          </cell>
          <cell r="E269">
            <v>3.0908891579577796E-2</v>
          </cell>
          <cell r="F269">
            <v>3.0999878371868968E-2</v>
          </cell>
          <cell r="G269">
            <v>3.1072489443439204E-2</v>
          </cell>
          <cell r="H269">
            <v>2.3817060381790166E-4</v>
          </cell>
          <cell r="I269">
            <v>1.2080886611698258E-4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0.99203425664956335</v>
          </cell>
          <cell r="E270">
            <v>1.8268799669199851</v>
          </cell>
          <cell r="F270">
            <v>5.7474155248867005</v>
          </cell>
          <cell r="G270">
            <v>12.520700272400751</v>
          </cell>
          <cell r="H270">
            <v>16.993935685958501</v>
          </cell>
          <cell r="I270">
            <v>16.821101033799749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0.99203425664956313</v>
          </cell>
          <cell r="E271">
            <v>1.8268799669199847</v>
          </cell>
          <cell r="F271">
            <v>5.7474155248866996</v>
          </cell>
          <cell r="G271">
            <v>12.520700272400749</v>
          </cell>
          <cell r="H271">
            <v>16.993935685958494</v>
          </cell>
          <cell r="I271">
            <v>16.821101033799746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0.99213424796722016</v>
          </cell>
          <cell r="E272">
            <v>1.8270685760632877</v>
          </cell>
          <cell r="F272">
            <v>5.7480061080286848</v>
          </cell>
          <cell r="G272">
            <v>12.52196322089285</v>
          </cell>
          <cell r="H272">
            <v>16.995646644584653</v>
          </cell>
          <cell r="I272">
            <v>16.822794037653487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0.99213424796722016</v>
          </cell>
          <cell r="E273">
            <v>1.8270685760632877</v>
          </cell>
          <cell r="F273">
            <v>5.7480061080286848</v>
          </cell>
          <cell r="G273">
            <v>12.52196322089285</v>
          </cell>
          <cell r="H273">
            <v>16.995646644584653</v>
          </cell>
          <cell r="I273">
            <v>16.822794037653487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13.8675699081362</v>
          </cell>
          <cell r="E274">
            <v>12.1240736787383</v>
          </cell>
          <cell r="F274">
            <v>65.565521943826695</v>
          </cell>
          <cell r="G274">
            <v>124.125613965759</v>
          </cell>
          <cell r="H274">
            <v>141.34800186954999</v>
          </cell>
          <cell r="I274">
            <v>210.389300698651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13.8675699081362</v>
          </cell>
          <cell r="E275">
            <v>25.424893194295734</v>
          </cell>
          <cell r="F275">
            <v>88.482257404135666</v>
          </cell>
          <cell r="G275">
            <v>193.22831951359282</v>
          </cell>
          <cell r="H275">
            <v>294.62825324458623</v>
          </cell>
          <cell r="I275">
            <v>281.87081543824502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3.3300293304345425</v>
          </cell>
          <cell r="E276">
            <v>1.0277918718834569</v>
          </cell>
          <cell r="F276">
            <v>1.0469295508769916</v>
          </cell>
          <cell r="G276">
            <v>1.0276212869320873</v>
          </cell>
          <cell r="H276">
            <v>0.53121483507127976</v>
          </cell>
          <cell r="I276">
            <v>1.8107576347334967E-2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3.291345852660453E-2</v>
          </cell>
          <cell r="E277">
            <v>1.0196727791423763E-2</v>
          </cell>
          <cell r="F277">
            <v>1.0388561850581454E-2</v>
          </cell>
          <cell r="G277">
            <v>1.0201278876082917E-2</v>
          </cell>
          <cell r="H277">
            <v>5.2881379248350992E-3</v>
          </cell>
          <cell r="I277">
            <v>1.9447895005704068E-4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4.5122348650874548E-2</v>
          </cell>
          <cell r="E278">
            <v>1.392671913121216E-2</v>
          </cell>
          <cell r="F278">
            <v>1.4186037274755987E-2</v>
          </cell>
          <cell r="G278">
            <v>1.392440768200659E-2</v>
          </cell>
          <cell r="H278">
            <v>7.1980329955457726E-3</v>
          </cell>
          <cell r="I278">
            <v>2.453601131075199E-4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3.1243637271313003E-5</v>
          </cell>
          <cell r="F279">
            <v>4.3942989738834299E-5</v>
          </cell>
          <cell r="G279">
            <v>4.3215118889880903E-5</v>
          </cell>
          <cell r="H279">
            <v>2.5514649561133698E-5</v>
          </cell>
          <cell r="I279">
            <v>1.6839132059685001E-5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1.58578936698128E-2</v>
          </cell>
          <cell r="E280">
            <v>4.758053914290114E-3</v>
          </cell>
          <cell r="F280">
            <v>4.8029678308586371E-3</v>
          </cell>
          <cell r="G280">
            <v>4.8470236179464221E-3</v>
          </cell>
          <cell r="H280">
            <v>2.4679311181617057E-3</v>
          </cell>
          <cell r="I280">
            <v>8.1169210216842247E-5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4722.2883360527503</v>
          </cell>
          <cell r="E281">
            <v>4775.0809679785398</v>
          </cell>
          <cell r="F281">
            <v>4004.0672856953001</v>
          </cell>
          <cell r="G281">
            <v>1629.9616771685401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18.302988459180686</v>
          </cell>
          <cell r="E282">
            <v>18.92876711358209</v>
          </cell>
          <cell r="F282">
            <v>16.402149818510921</v>
          </cell>
          <cell r="G282">
            <v>7.0363353513365325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63.987646829983092</v>
          </cell>
          <cell r="E283">
            <v>64.702994146050585</v>
          </cell>
          <cell r="F283">
            <v>54.255654277714108</v>
          </cell>
          <cell r="G283">
            <v>22.086201587649647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1.6628635180553881</v>
          </cell>
          <cell r="G284">
            <v>0.83142689673561088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1.9885760542478634</v>
          </cell>
          <cell r="E285">
            <v>0.75275390919366192</v>
          </cell>
          <cell r="F285">
            <v>0.77521015741623345</v>
          </cell>
          <cell r="G285">
            <v>0.75278667360569962</v>
          </cell>
          <cell r="H285">
            <v>0.76452147412860061</v>
          </cell>
          <cell r="I285">
            <v>4.6331916851916663E-2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1.8209796869250013E-2</v>
          </cell>
          <cell r="E286">
            <v>6.9116287001996573E-3</v>
          </cell>
          <cell r="F286">
            <v>7.118989051315955E-3</v>
          </cell>
          <cell r="G286">
            <v>6.9151868949106944E-3</v>
          </cell>
          <cell r="H286">
            <v>7.0292193528371716E-3</v>
          </cell>
          <cell r="I286">
            <v>4.3629342030364273E-4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2.6945474989808482E-2</v>
          </cell>
          <cell r="E287">
            <v>1.0199917468748815E-2</v>
          </cell>
          <cell r="F287">
            <v>1.0504202675016693E-2</v>
          </cell>
          <cell r="G287">
            <v>1.0200361430971527E-2</v>
          </cell>
          <cell r="H287">
            <v>1.0359369568138202E-2</v>
          </cell>
          <cell r="I287">
            <v>6.278037513809849E-4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2.05009894016575E-5</v>
          </cell>
          <cell r="F288">
            <v>2.4050263329308501E-5</v>
          </cell>
          <cell r="G288">
            <v>1.9892416689751401E-5</v>
          </cell>
          <cell r="H288">
            <v>1.5280696784913601E-5</v>
          </cell>
          <cell r="I288">
            <v>1.05237807976214E-5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8.7709410516189044E-3</v>
          </cell>
          <cell r="E289">
            <v>3.2268763997537614E-3</v>
          </cell>
          <cell r="F289">
            <v>3.251917351154765E-3</v>
          </cell>
          <cell r="G289">
            <v>3.2727160394764171E-3</v>
          </cell>
          <cell r="H289">
            <v>3.2940918096014196E-3</v>
          </cell>
          <cell r="I289">
            <v>1.8931455733464317E-4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4299.9536480114402</v>
          </cell>
          <cell r="E290">
            <v>3569.7765341470399</v>
          </cell>
          <cell r="F290">
            <v>1796.12290037046</v>
          </cell>
          <cell r="G290">
            <v>559.03541015970904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19.887637610560077</v>
          </cell>
          <cell r="E291">
            <v>17.235946276849489</v>
          </cell>
          <cell r="F291">
            <v>9.2197200869079339</v>
          </cell>
          <cell r="G291">
            <v>3.1536107063492698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58.662396289378428</v>
          </cell>
          <cell r="E292">
            <v>48.700907696412571</v>
          </cell>
          <cell r="F292">
            <v>24.503723060988584</v>
          </cell>
          <cell r="G292">
            <v>7.6266768098186768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0.70636858876244668</v>
          </cell>
          <cell r="G293">
            <v>0.35318573608534187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9.8992676571553072E-5</v>
          </cell>
          <cell r="F294">
            <v>2.8645612667877195E-4</v>
          </cell>
          <cell r="G294">
            <v>7.5983339631697188E-4</v>
          </cell>
          <cell r="H294">
            <v>8.258808449748044E-4</v>
          </cell>
          <cell r="I294">
            <v>7.3551383647114585E-4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5.4349456656163896E-5</v>
          </cell>
          <cell r="F295">
            <v>1.5727158189896232E-4</v>
          </cell>
          <cell r="G295">
            <v>4.1716754884575143E-4</v>
          </cell>
          <cell r="H295">
            <v>4.3222704692618828E-4</v>
          </cell>
          <cell r="I295">
            <v>3.591672339762034E-4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3.0487262198956207E-3</v>
          </cell>
          <cell r="E296">
            <v>3.9102867603851713E-4</v>
          </cell>
          <cell r="F296">
            <v>1.9580118857824981E-3</v>
          </cell>
          <cell r="G296">
            <v>2.9769341494894457E-2</v>
          </cell>
          <cell r="H296">
            <v>7.0411295441644038E-3</v>
          </cell>
          <cell r="I296">
            <v>3.302716101522162E-3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2.02824245717245E-3</v>
          </cell>
          <cell r="E297">
            <v>2.6014174626031377E-4</v>
          </cell>
          <cell r="F297">
            <v>1.3026170774128509E-3</v>
          </cell>
          <cell r="G297">
            <v>1.9804809611299819E-2</v>
          </cell>
          <cell r="H297">
            <v>4.3563074005427346E-3</v>
          </cell>
          <cell r="I297">
            <v>1.8948788076448564E-3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6.272015042442416E-5</v>
          </cell>
          <cell r="F298">
            <v>2.6209036979581401E-4</v>
          </cell>
          <cell r="G298">
            <v>7.5645180450020441E-4</v>
          </cell>
          <cell r="H298">
            <v>8.4796785195506664E-4</v>
          </cell>
          <cell r="I298">
            <v>7.4027063453686458E-4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3.4434932108299876E-5</v>
          </cell>
          <cell r="F299">
            <v>1.4389417163520642E-4</v>
          </cell>
          <cell r="G299">
            <v>4.1531097031651649E-4</v>
          </cell>
          <cell r="H299">
            <v>4.4377007430797532E-4</v>
          </cell>
          <cell r="I299">
            <v>3.6219105757696787E-4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3.5370833501607003E-2</v>
          </cell>
          <cell r="G300">
            <v>3.726366700321395E-2</v>
          </cell>
          <cell r="H300">
            <v>3.9048512196511807E-2</v>
          </cell>
          <cell r="I300">
            <v>4.0347931071859175E-2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0.65830556959273911</v>
          </cell>
          <cell r="G301">
            <v>0.7379148962536346</v>
          </cell>
          <cell r="H301">
            <v>0.77325934733858914</v>
          </cell>
          <cell r="I301">
            <v>0.79899112903654423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1.2365838201902895E-4</v>
          </cell>
          <cell r="F302">
            <v>0.49799810880505596</v>
          </cell>
          <cell r="G302">
            <v>1.9092564375887675</v>
          </cell>
          <cell r="H302">
            <v>5.1327498468275623</v>
          </cell>
          <cell r="I302">
            <v>4.4023419335010097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8.8253971887665829E-5</v>
          </cell>
          <cell r="F303">
            <v>0.35541716119032651</v>
          </cell>
          <cell r="G303">
            <v>1.3626206425972394</v>
          </cell>
          <cell r="H303">
            <v>3.3597201739340261</v>
          </cell>
          <cell r="I303">
            <v>2.6164847515292995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E304">
            <v>6.1303690027822701E-5</v>
          </cell>
          <cell r="F304">
            <v>1.0093331055282787E-3</v>
          </cell>
          <cell r="G304">
            <v>0.21178639286096423</v>
          </cell>
          <cell r="H304">
            <v>3.3909418940395904E-2</v>
          </cell>
          <cell r="I304">
            <v>3.0987364362313969E-3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E305">
            <v>4.0783834928944984E-5</v>
          </cell>
          <cell r="F305">
            <v>6.7148445298320961E-4</v>
          </cell>
          <cell r="G305">
            <v>0.14089627039935379</v>
          </cell>
          <cell r="H305">
            <v>2.0651723874432301E-2</v>
          </cell>
          <cell r="I305">
            <v>1.7802966979403527E-3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110.74448103170501</v>
          </cell>
          <cell r="E306">
            <v>103.560370105684</v>
          </cell>
          <cell r="F306">
            <v>70.249240134883706</v>
          </cell>
          <cell r="G306">
            <v>33.436046331557698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1.1572124577408995</v>
          </cell>
          <cell r="E307">
            <v>1.1046977345907349</v>
          </cell>
          <cell r="F307">
            <v>0.77231154755460774</v>
          </cell>
          <cell r="G307">
            <v>0.38579725755201966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1.5006027240068447</v>
          </cell>
          <cell r="E308">
            <v>1.4032570475024939</v>
          </cell>
          <cell r="F308">
            <v>0.95188672269490138</v>
          </cell>
          <cell r="G308">
            <v>0.45306295842219013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0.3718638094916013</v>
          </cell>
          <cell r="G309">
            <v>0.18592993439158009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9.8269790741691652E-5</v>
          </cell>
          <cell r="F310">
            <v>1.4243967134117004E-2</v>
          </cell>
          <cell r="G310">
            <v>3.8013625545817678E-2</v>
          </cell>
          <cell r="H310">
            <v>6.1963394718169643E-3</v>
          </cell>
          <cell r="I310">
            <v>4.5729940085207626E-3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7.3368542200239519E-5</v>
          </cell>
          <cell r="F311">
            <v>1.0634591728451846E-2</v>
          </cell>
          <cell r="G311">
            <v>2.8381095237838681E-2</v>
          </cell>
          <cell r="H311">
            <v>4.3575901103967913E-3</v>
          </cell>
          <cell r="I311">
            <v>2.9651468487962365E-3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2.331535015783342E-4</v>
          </cell>
          <cell r="F312">
            <v>0.19650372943101832</v>
          </cell>
          <cell r="G312">
            <v>1.1034594506868738</v>
          </cell>
          <cell r="H312">
            <v>3.5428479088271918</v>
          </cell>
          <cell r="I312">
            <v>3.0704426846092576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1.6639973965241388E-4</v>
          </cell>
          <cell r="F313">
            <v>0.1402430982022545</v>
          </cell>
          <cell r="G313">
            <v>0.78752994944663524</v>
          </cell>
          <cell r="H313">
            <v>2.3200732396945316</v>
          </cell>
          <cell r="I313">
            <v>1.8247798946787461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3.9553155704472167E-4</v>
          </cell>
          <cell r="F314">
            <v>1.4510814395633299E-3</v>
          </cell>
          <cell r="G314">
            <v>1.5401096545554735E-2</v>
          </cell>
          <cell r="H314">
            <v>8.2833192760538646E-3</v>
          </cell>
          <cell r="I314">
            <v>4.0583050998254707E-3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2.9530513411636221E-4</v>
          </cell>
          <cell r="F315">
            <v>1.0833820753158321E-3</v>
          </cell>
          <cell r="G315">
            <v>1.1498508273032315E-2</v>
          </cell>
          <cell r="H315">
            <v>5.8087846376165698E-3</v>
          </cell>
          <cell r="I315">
            <v>2.6355280592267583E-3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1.4284388740479401</v>
          </cell>
          <cell r="E316">
            <v>1.383459712373964</v>
          </cell>
          <cell r="F316">
            <v>1.7655284576545043</v>
          </cell>
          <cell r="G316">
            <v>6.9520141204789396E-3</v>
          </cell>
          <cell r="H316">
            <v>5.0926322747325012E-3</v>
          </cell>
          <cell r="I316">
            <v>7.4605214770874799E-4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8.1192295260861195E-3</v>
          </cell>
          <cell r="E317">
            <v>7.8635685075036064E-3</v>
          </cell>
          <cell r="F317">
            <v>1.003524269954351E-2</v>
          </cell>
          <cell r="G317">
            <v>3.9515165358672471E-5</v>
          </cell>
          <cell r="H317">
            <v>2.8946461120407412E-5</v>
          </cell>
          <cell r="I317">
            <v>4.2405515109731784E-6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2.5326930390920915E-2</v>
          </cell>
          <cell r="E318">
            <v>2.4529427524361037E-2</v>
          </cell>
          <cell r="F318">
            <v>3.1303696057704007E-2</v>
          </cell>
          <cell r="G318">
            <v>1.2326266171061944E-4</v>
          </cell>
          <cell r="H318">
            <v>9.0294898488164972E-5</v>
          </cell>
          <cell r="I318">
            <v>1.3227874959374947E-5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1.7436291748924901E-7</v>
          </cell>
          <cell r="E319">
            <v>3.9834642938818096E-6</v>
          </cell>
          <cell r="F319">
            <v>1.9982810376556799E-6</v>
          </cell>
          <cell r="G319">
            <v>5.0771178014008399E-7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5.831143564760811E-4</v>
          </cell>
          <cell r="E320">
            <v>7.1311471652310966E-4</v>
          </cell>
          <cell r="F320">
            <v>7.1512206099550411E-4</v>
          </cell>
          <cell r="G320">
            <v>3.3629677264019144E-6</v>
          </cell>
          <cell r="H320">
            <v>2.3102047133022705E-6</v>
          </cell>
          <cell r="I320">
            <v>3.9232767283086499E-7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7.3253211510585546E-3</v>
          </cell>
          <cell r="E321">
            <v>4.550873430382766E-2</v>
          </cell>
          <cell r="F321">
            <v>7.7091766100796072E-2</v>
          </cell>
          <cell r="G321">
            <v>1.675683482155883</v>
          </cell>
          <cell r="H321">
            <v>4.4815667240413148</v>
          </cell>
          <cell r="I321">
            <v>5.2504930661742311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1.0751067389704858E-2</v>
          </cell>
          <cell r="E322">
            <v>6.6791265424577667E-2</v>
          </cell>
          <cell r="F322">
            <v>0.11314435987850892</v>
          </cell>
          <cell r="G322">
            <v>2.4593305425073249</v>
          </cell>
          <cell r="H322">
            <v>6.5774079890906201</v>
          </cell>
          <cell r="I322">
            <v>7.7059290124720414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2.03465964740489E-3</v>
          </cell>
          <cell r="F323">
            <v>1.73963664988729E-3</v>
          </cell>
          <cell r="G323">
            <v>0.112020321351782</v>
          </cell>
          <cell r="H323">
            <v>0.18849893301467799</v>
          </cell>
          <cell r="I323">
            <v>0.36135095100255799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7.2751554304283203E-4</v>
          </cell>
          <cell r="E324">
            <v>3.6552065627362823E-3</v>
          </cell>
          <cell r="F324">
            <v>5.3949456910896828E-3</v>
          </cell>
          <cell r="G324">
            <v>0.1168200997817152</v>
          </cell>
          <cell r="H324">
            <v>0.41812129410563126</v>
          </cell>
          <cell r="I324">
            <v>0.49269835890963037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6.4010268366663478E-5</v>
          </cell>
          <cell r="E325">
            <v>2.9946526915153142E-4</v>
          </cell>
          <cell r="F325">
            <v>5.1471524090139888E-4</v>
          </cell>
          <cell r="G325">
            <v>6.4718747595656878E-2</v>
          </cell>
          <cell r="H325">
            <v>6.4734640318363457E-2</v>
          </cell>
          <cell r="I325">
            <v>6.3018450776963622E-2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1.6902935011772234E-4</v>
          </cell>
          <cell r="E326">
            <v>7.7732691683255286E-4</v>
          </cell>
          <cell r="F326">
            <v>1.2990109109817934E-3</v>
          </cell>
          <cell r="G326">
            <v>0.14468368244285792</v>
          </cell>
          <cell r="H326">
            <v>0.1373169568031192</v>
          </cell>
          <cell r="I326">
            <v>0.11857886208847629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1.64098248500727E-6</v>
          </cell>
          <cell r="F327">
            <v>4.7828766847672697E-6</v>
          </cell>
          <cell r="G327">
            <v>1.4398616185045501E-3</v>
          </cell>
          <cell r="H327">
            <v>2.3804718101544199E-5</v>
          </cell>
          <cell r="I327">
            <v>1.2207564232440001E-3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1.8055130754388001E-6</v>
          </cell>
          <cell r="E328">
            <v>6.8353169664140292E-6</v>
          </cell>
          <cell r="F328">
            <v>1.162526673239538E-5</v>
          </cell>
          <cell r="G328">
            <v>1.4410347947721664E-3</v>
          </cell>
          <cell r="H328">
            <v>1.440214336166603E-3</v>
          </cell>
          <cell r="I328">
            <v>1.4809392617432481E-3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1.2128446954573107E-4</v>
          </cell>
          <cell r="E329">
            <v>1.2814939696348504E-4</v>
          </cell>
          <cell r="F329">
            <v>2.0070247695502436E-4</v>
          </cell>
          <cell r="G329">
            <v>5.7402195942222956E-2</v>
          </cell>
          <cell r="H329">
            <v>5.7371869933296384E-2</v>
          </cell>
          <cell r="I329">
            <v>5.5853788743713481E-2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4.4074481734174655E-4</v>
          </cell>
          <cell r="E330">
            <v>4.5895801721227157E-4</v>
          </cell>
          <cell r="F330">
            <v>7.02755948545203E-4</v>
          </cell>
          <cell r="G330">
            <v>0.17700609554007063</v>
          </cell>
          <cell r="H330">
            <v>0.16366929444138761</v>
          </cell>
          <cell r="I330">
            <v>0.14782974482080413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6.2494027625234099E-7</v>
          </cell>
          <cell r="F331">
            <v>1.5010222247624801E-6</v>
          </cell>
          <cell r="G331">
            <v>1.24571227068275E-3</v>
          </cell>
          <cell r="H331">
            <v>9.0137646951652598E-4</v>
          </cell>
          <cell r="I331">
            <v>7.3540873211399205E-4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3.6251322237802706E-6</v>
          </cell>
          <cell r="E332">
            <v>3.0740531314882445E-6</v>
          </cell>
          <cell r="F332">
            <v>4.5972124780731205E-6</v>
          </cell>
          <cell r="G332">
            <v>1.247944004755111E-3</v>
          </cell>
          <cell r="H332">
            <v>1.2470777212023644E-3</v>
          </cell>
          <cell r="I332">
            <v>1.214009557373252E-3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3.0936416710590388E-5</v>
          </cell>
          <cell r="E333">
            <v>5.1415353812564819E-5</v>
          </cell>
          <cell r="F333">
            <v>7.433887628256179E-5</v>
          </cell>
          <cell r="G333">
            <v>9.3179111102258457E-3</v>
          </cell>
          <cell r="H333">
            <v>9.6857027641461743E-3</v>
          </cell>
          <cell r="I333">
            <v>9.3532307162839893E-3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1.6907879910802389E-4</v>
          </cell>
          <cell r="E334">
            <v>2.7840542385909524E-4</v>
          </cell>
          <cell r="F334">
            <v>3.9536045337836912E-4</v>
          </cell>
          <cell r="G334">
            <v>4.3162683291238679E-2</v>
          </cell>
          <cell r="H334">
            <v>4.1016347256616167E-2</v>
          </cell>
          <cell r="I334">
            <v>3.6600960227566641E-2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2.68277871200025E-7</v>
          </cell>
          <cell r="F335">
            <v>4.44525210328187E-7</v>
          </cell>
          <cell r="G335">
            <v>2.08179192631335E-4</v>
          </cell>
          <cell r="H335">
            <v>1.5889467858082299E-4</v>
          </cell>
          <cell r="I335">
            <v>1.4890094341801999E-4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8.0340807279396005E-7</v>
          </cell>
          <cell r="E336">
            <v>1.259877854795695E-6</v>
          </cell>
          <cell r="F336">
            <v>1.7128777814009925E-6</v>
          </cell>
          <cell r="G336">
            <v>2.0923219228314864E-4</v>
          </cell>
          <cell r="H336">
            <v>2.1058700269105401E-4</v>
          </cell>
          <cell r="I336">
            <v>2.03325746826565E-4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5.555423356191104E-6</v>
          </cell>
          <cell r="F337">
            <v>1.1246919775584323E-5</v>
          </cell>
          <cell r="G337">
            <v>5.4089339191452042E-6</v>
          </cell>
          <cell r="H337">
            <v>2.1702375378851002E-5</v>
          </cell>
          <cell r="I337">
            <v>8.6278514553158355E-6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4.3939213896722112E-5</v>
          </cell>
          <cell r="F338">
            <v>8.6730990182957375E-5</v>
          </cell>
          <cell r="G338">
            <v>3.8600265698395932E-5</v>
          </cell>
          <cell r="H338">
            <v>1.3760054722583332E-4</v>
          </cell>
          <cell r="I338">
            <v>5.0363486954149955E-5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1.6317006739065401E-7</v>
          </cell>
          <cell r="F339">
            <v>1.6048359662978399E-7</v>
          </cell>
          <cell r="G339">
            <v>1.4360198412639501E-7</v>
          </cell>
          <cell r="H339">
            <v>4.4321653478606298E-7</v>
          </cell>
          <cell r="I339">
            <v>1.8753446276338299E-7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1.6317006739065401E-7</v>
          </cell>
          <cell r="F340">
            <v>3.2365366402043802E-7</v>
          </cell>
          <cell r="G340">
            <v>2.1658892823654172E-7</v>
          </cell>
          <cell r="H340">
            <v>6.0705366139623398E-7</v>
          </cell>
          <cell r="I340">
            <v>2.6531392804899402E-7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0.20803825411602075</v>
          </cell>
          <cell r="E341">
            <v>0.50838040592406863</v>
          </cell>
          <cell r="F341">
            <v>0.97038036934883409</v>
          </cell>
          <cell r="G341">
            <v>1.7395997827838992</v>
          </cell>
          <cell r="H341">
            <v>2.0688190964769153</v>
          </cell>
          <cell r="I341">
            <v>2.2932862670270056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0.11483218659797856</v>
          </cell>
          <cell r="E342">
            <v>0.2806139374889759</v>
          </cell>
          <cell r="F342">
            <v>0.53562696974921131</v>
          </cell>
          <cell r="G342">
            <v>0.96021785854364361</v>
          </cell>
          <cell r="H342">
            <v>1.0809729974347457</v>
          </cell>
          <cell r="I342">
            <v>1.078934666867988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2.0755772391613799E-2</v>
          </cell>
          <cell r="E343">
            <v>3.24984466620915E-2</v>
          </cell>
          <cell r="F343">
            <v>9.7687468919871803E-2</v>
          </cell>
          <cell r="G343">
            <v>0.146603632184546</v>
          </cell>
          <cell r="H343">
            <v>0.114757157773534</v>
          </cell>
          <cell r="I343">
            <v>0.292295893548014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2.2227533147776229E-2</v>
          </cell>
          <cell r="E344">
            <v>5.4364602975162775E-2</v>
          </cell>
          <cell r="F344">
            <v>0.1474476535768007</v>
          </cell>
          <cell r="G344">
            <v>0.2642024852983787</v>
          </cell>
          <cell r="H344">
            <v>0.31440104670062868</v>
          </cell>
          <cell r="I344">
            <v>0.34851991639772556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16.144264030377101</v>
          </cell>
          <cell r="E345">
            <v>10.658886623067</v>
          </cell>
          <cell r="F345">
            <v>15.851881626670799</v>
          </cell>
          <cell r="G345">
            <v>1.96327870895317</v>
          </cell>
          <cell r="H345">
            <v>0.30453578433429102</v>
          </cell>
          <cell r="I345">
            <v>1.45141062713887E-2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0.30855947331698019</v>
          </cell>
          <cell r="E346">
            <v>0.21044534706003148</v>
          </cell>
          <cell r="F346">
            <v>0.31534931429534019</v>
          </cell>
          <cell r="G346">
            <v>4.4932833067394276E-2</v>
          </cell>
          <cell r="H346">
            <v>7.4441257104644167E-3</v>
          </cell>
          <cell r="I346">
            <v>5.2066564306597494E-4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0.28624581614143807</v>
          </cell>
          <cell r="E347">
            <v>0.18898735147281864</v>
          </cell>
          <cell r="F347">
            <v>0.2810617309693399</v>
          </cell>
          <cell r="G347">
            <v>3.4809906187112903E-2</v>
          </cell>
          <cell r="H347">
            <v>5.3995706442250104E-3</v>
          </cell>
          <cell r="I347">
            <v>2.5734230977639478E-4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2.3297897919774792E-2</v>
          </cell>
          <cell r="E348">
            <v>1.9880591167781222E-2</v>
          </cell>
          <cell r="F348">
            <v>2.977860871897435E-2</v>
          </cell>
          <cell r="G348">
            <v>9.0311376958102218E-3</v>
          </cell>
          <cell r="H348">
            <v>1.9808727810095694E-3</v>
          </cell>
          <cell r="I348">
            <v>2.5619115956319833E-4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2.2486999921721806E-3</v>
          </cell>
          <cell r="F349">
            <v>5.5149919613951773E-3</v>
          </cell>
          <cell r="G349">
            <v>1.2353824795667189E-3</v>
          </cell>
          <cell r="H349">
            <v>8.8061984885188428E-5</v>
          </cell>
          <cell r="I349">
            <v>8.3727597607543864E-6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2.4941246483554199E-7</v>
          </cell>
          <cell r="E350">
            <v>1.3158127416803001E-7</v>
          </cell>
          <cell r="F350">
            <v>1.5365773037186201E-7</v>
          </cell>
          <cell r="G350">
            <v>1.0565515413198699E-7</v>
          </cell>
          <cell r="H350">
            <v>1.93864505494965E-7</v>
          </cell>
          <cell r="I350">
            <v>5.8393873835702698E-7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0.95961794249410881</v>
          </cell>
          <cell r="E351">
            <v>0.95961807407538302</v>
          </cell>
          <cell r="F351">
            <v>0.95961822773311345</v>
          </cell>
          <cell r="G351">
            <v>0.95961833338826752</v>
          </cell>
          <cell r="H351">
            <v>0.95961869686166901</v>
          </cell>
          <cell r="I351">
            <v>0.48125493715435136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0.83528472823201538</v>
          </cell>
          <cell r="E352">
            <v>0.86689878984495139</v>
          </cell>
          <cell r="F352">
            <v>3.2768196026070009</v>
          </cell>
          <cell r="G352">
            <v>10.148182843067911</v>
          </cell>
          <cell r="H352">
            <v>18.281451345267303</v>
          </cell>
          <cell r="I352">
            <v>18.035505986247241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0.57062830787235708</v>
          </cell>
          <cell r="E353">
            <v>0.59222558826481031</v>
          </cell>
          <cell r="F353">
            <v>2.2385732216083518</v>
          </cell>
          <cell r="G353">
            <v>6.9327741882413703</v>
          </cell>
          <cell r="H353">
            <v>11.756974697547392</v>
          </cell>
          <cell r="I353">
            <v>10.498097772099799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5.6088205712319698E-2</v>
          </cell>
          <cell r="E354">
            <v>1.20949551653954E-4</v>
          </cell>
          <cell r="F354">
            <v>0.189593985613174</v>
          </cell>
          <cell r="G354">
            <v>0.58797994796985198</v>
          </cell>
          <cell r="H354">
            <v>0.638956117072495</v>
          </cell>
          <cell r="I354">
            <v>1.48150577619094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6.3375354725694319E-2</v>
          </cell>
          <cell r="E355">
            <v>6.5783806214321977E-2</v>
          </cell>
          <cell r="F355">
            <v>0.24862829680465234</v>
          </cell>
          <cell r="G355">
            <v>0.76997397328800832</v>
          </cell>
          <cell r="H355">
            <v>1.9282112109150222</v>
          </cell>
          <cell r="I355">
            <v>1.9023047776495854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9.7978996256408053E-3</v>
          </cell>
          <cell r="E356">
            <v>8.5095654017447939E-3</v>
          </cell>
          <cell r="F356">
            <v>1.859239295326565E-2</v>
          </cell>
          <cell r="G356">
            <v>9.2998046577812497E-3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1.4215865851889022E-2</v>
          </cell>
          <cell r="E357">
            <v>1.2232601245128644E-2</v>
          </cell>
          <cell r="F357">
            <v>2.6361651471461293E-2</v>
          </cell>
          <cell r="G357">
            <v>1.3185941678262607E-2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1.2999999999999999E-3</v>
          </cell>
          <cell r="G358">
            <v>6.4999999999999997E-4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0.76084274693845466</v>
          </cell>
          <cell r="E359">
            <v>0.77080838154292308</v>
          </cell>
          <cell r="F359">
            <v>0.7264654325692228</v>
          </cell>
          <cell r="G359">
            <v>0.57516595388335268</v>
          </cell>
          <cell r="H359">
            <v>0.64190526334682574</v>
          </cell>
          <cell r="I359">
            <v>5.7829739759154988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0.56887449749192331</v>
          </cell>
          <cell r="E360">
            <v>0.57632570262020522</v>
          </cell>
          <cell r="F360">
            <v>0.54317092403261047</v>
          </cell>
          <cell r="G360">
            <v>0.43004581998903241</v>
          </cell>
          <cell r="H360">
            <v>0.45220892744989555</v>
          </cell>
          <cell r="I360">
            <v>3.5342635771244972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4.8095704196467901E-2</v>
          </cell>
          <cell r="E361">
            <v>1.7335984648422399E-4</v>
          </cell>
          <cell r="F361">
            <v>4.13505911189533E-4</v>
          </cell>
          <cell r="G361">
            <v>6.9197840663249297E-4</v>
          </cell>
          <cell r="H361">
            <v>7.22438691823291E-3</v>
          </cell>
          <cell r="I361">
            <v>0.44895038271098697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5.2316925494140791E-2</v>
          </cell>
          <cell r="E362">
            <v>5.3010999542245821E-2</v>
          </cell>
          <cell r="F362">
            <v>4.9973869701899501E-2</v>
          </cell>
          <cell r="G362">
            <v>3.9555480279491712E-2</v>
          </cell>
          <cell r="H362">
            <v>4.4161030933867591E-2</v>
          </cell>
          <cell r="I362">
            <v>0.39764050785891913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1.284657501588371</v>
          </cell>
          <cell r="E363">
            <v>2.3657561561949207</v>
          </cell>
          <cell r="F363">
            <v>7.442740560939777</v>
          </cell>
          <cell r="G363">
            <v>16.091299756952672</v>
          </cell>
          <cell r="H363">
            <v>22.783692922274344</v>
          </cell>
          <cell r="I363">
            <v>22.954683060626067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0.99203425664956357</v>
          </cell>
          <cell r="E364">
            <v>1.8268769278373396</v>
          </cell>
          <cell r="F364">
            <v>5.7474101779489315</v>
          </cell>
          <cell r="G364">
            <v>12.425973906023021</v>
          </cell>
          <cell r="H364">
            <v>16.485222438097683</v>
          </cell>
          <cell r="I364">
            <v>15.124662478147417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8.59568310085118E-2</v>
          </cell>
          <cell r="E365">
            <v>7.5890699207193199E-2</v>
          </cell>
          <cell r="F365">
            <v>0.41656696907839702</v>
          </cell>
          <cell r="G365">
            <v>0.808857076220177</v>
          </cell>
          <cell r="H365">
            <v>0.97072044597169005</v>
          </cell>
          <cell r="I365">
            <v>1.52686262967535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0.10115969994130181</v>
          </cell>
          <cell r="E366">
            <v>0.18629834240007659</v>
          </cell>
          <cell r="F366">
            <v>0.5860880238506182</v>
          </cell>
          <cell r="G366">
            <v>1.2670443694473335</v>
          </cell>
          <cell r="H366">
            <v>1.9875928192373673</v>
          </cell>
          <cell r="I366">
            <v>2.0025546782549175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8.3871662968977106E-2</v>
          </cell>
          <cell r="F367">
            <v>0.11415488224414611</v>
          </cell>
          <cell r="H367">
            <v>2.1989239416493199E-4</v>
          </cell>
          <cell r="I367">
            <v>1.5917097149745802E-5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1.7880355908811324E-4</v>
          </cell>
          <cell r="F368">
            <v>2.4673180577227299E-4</v>
          </cell>
          <cell r="H368">
            <v>5.9616525887684732E-7</v>
          </cell>
          <cell r="I368">
            <v>4.3153927078208203E-8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1.4870862228542035E-3</v>
          </cell>
          <cell r="F369">
            <v>2.0240227348252843E-3</v>
          </cell>
          <cell r="H369">
            <v>3.8988013149810668E-6</v>
          </cell>
          <cell r="I369">
            <v>2.8221803456996054E-7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4.0497400506537203E-6</v>
          </cell>
          <cell r="F370">
            <v>1.50368753861086E-6</v>
          </cell>
          <cell r="H370">
            <v>2.6990337998596801E-8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4.0497400506537203E-6</v>
          </cell>
          <cell r="F371">
            <v>5.5534275892645801E-6</v>
          </cell>
          <cell r="G371">
            <v>2.5461641771600522E-9</v>
          </cell>
          <cell r="H371">
            <v>2.2096063944592202E-8</v>
          </cell>
          <cell r="I371">
            <v>1.7939235421714499E-8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1.4969186664821259E-4</v>
          </cell>
          <cell r="F372">
            <v>2.1297518157131697E-4</v>
          </cell>
          <cell r="G372">
            <v>3.2544734523460878E-4</v>
          </cell>
          <cell r="H372">
            <v>5.1010390244913544E-2</v>
          </cell>
          <cell r="I372">
            <v>9.4368121076400358E-2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3.2184640327470517E-4</v>
          </cell>
          <cell r="F373">
            <v>4.4943150677763854E-4</v>
          </cell>
          <cell r="G373">
            <v>6.5871928117850679E-4</v>
          </cell>
          <cell r="H373">
            <v>8.8496266313502284E-2</v>
          </cell>
          <cell r="I373">
            <v>0.15805792506170974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1.0751512687448601E-5</v>
          </cell>
          <cell r="F374">
            <v>6.3115332085922402E-6</v>
          </cell>
          <cell r="G374">
            <v>9.5788736858733706E-6</v>
          </cell>
          <cell r="H374">
            <v>4.0153239817768104E-3</v>
          </cell>
          <cell r="I374">
            <v>5.3835702461208102E-3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1.0751512687448601E-5</v>
          </cell>
          <cell r="F375">
            <v>1.7063045896040799E-5</v>
          </cell>
          <cell r="G375">
            <v>2.52173933012721E-5</v>
          </cell>
          <cell r="H375">
            <v>4.048911506954289E-3</v>
          </cell>
          <cell r="I375">
            <v>7.4028694238151204E-3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1.35038309264034E-2</v>
          </cell>
          <cell r="F376">
            <v>3.3920491496621803E-2</v>
          </cell>
          <cell r="H376">
            <v>3.5928742989584003E-4</v>
          </cell>
          <cell r="I376">
            <v>7.4640495466632E-5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2.0351057633478721E-5</v>
          </cell>
          <cell r="F377">
            <v>5.263401071432597E-5</v>
          </cell>
          <cell r="H377">
            <v>6.8102677553045232E-7</v>
          </cell>
          <cell r="I377">
            <v>1.4148052985425211E-7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2.3942962635466999E-4</v>
          </cell>
          <cell r="F378">
            <v>6.0142715419542181E-4</v>
          </cell>
          <cell r="H378">
            <v>6.370344501699286E-6</v>
          </cell>
          <cell r="I378">
            <v>1.3234130401885133E-6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5.0636339982374498E-7</v>
          </cell>
          <cell r="F379">
            <v>6.9731142176727305E-7</v>
          </cell>
          <cell r="H379">
            <v>2.7294778270217201E-8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5.0636339982374498E-7</v>
          </cell>
          <cell r="F380">
            <v>1.20367482159102E-6</v>
          </cell>
          <cell r="G380">
            <v>1.7230505387198277E-9</v>
          </cell>
          <cell r="H380">
            <v>1.0737552711102102E-8</v>
          </cell>
          <cell r="I380">
            <v>1.36884756912523E-8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2.0099801960942489E-2</v>
          </cell>
          <cell r="E381">
            <v>13.380779149158087</v>
          </cell>
          <cell r="F381">
            <v>27.899455897052466</v>
          </cell>
          <cell r="G381">
            <v>3.0637898868425598E-3</v>
          </cell>
          <cell r="H381">
            <v>1.3190868253223001E-4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3.3980228180531514E-5</v>
          </cell>
          <cell r="E382">
            <v>2.3459001206680052E-2</v>
          </cell>
          <cell r="F382">
            <v>5.0279634419259513E-2</v>
          </cell>
          <cell r="G382">
            <v>5.1795674233216917E-6</v>
          </cell>
          <cell r="H382">
            <v>2.9292609102159396E-7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2.7421285076319895E-4</v>
          </cell>
          <cell r="E383">
            <v>0.18254814664608629</v>
          </cell>
          <cell r="F383">
            <v>0.38062013502118031</v>
          </cell>
          <cell r="G383">
            <v>4.1797952071522002E-5</v>
          </cell>
          <cell r="H383">
            <v>1.7995727494165029E-6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4.4206927282782198E-4</v>
          </cell>
          <cell r="F384">
            <v>5.0583283599463897E-4</v>
          </cell>
          <cell r="H384">
            <v>1.7224924408577201E-8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7.0464135021097004E-7</v>
          </cell>
          <cell r="E385">
            <v>4.4290119969139444E-4</v>
          </cell>
          <cell r="F385">
            <v>9.4871832331527254E-4</v>
          </cell>
          <cell r="G385">
            <v>1.1101146297229445E-7</v>
          </cell>
          <cell r="H385">
            <v>1.6771972485954797E-8</v>
          </cell>
          <cell r="I385">
            <v>1.29289831195615E-8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1.0522901524615999E-2</v>
          </cell>
          <cell r="F386">
            <v>2.3788737579502301E-2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1.0527031103215258E-5</v>
          </cell>
          <cell r="F387">
            <v>2.4445393033364928E-5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1.8657626816695054E-4</v>
          </cell>
          <cell r="F388">
            <v>4.2178612729613967E-4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2.6611991272313299E-7</v>
          </cell>
          <cell r="F389">
            <v>3.05977945581187E-7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2.6611991272313299E-7</v>
          </cell>
          <cell r="F390">
            <v>5.7209785830432004E-7</v>
          </cell>
          <cell r="G390">
            <v>5.6731561288819763E-9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8.0224471473799301</v>
          </cell>
          <cell r="E391">
            <v>9.9767009439042464</v>
          </cell>
          <cell r="F391">
            <v>17.099990509651839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9.5728531985866134E-3</v>
          </cell>
          <cell r="E392">
            <v>1.1951560541411561E-2</v>
          </cell>
          <cell r="F392">
            <v>2.119545307394826E-2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0.10944675508021737</v>
          </cell>
          <cell r="E393">
            <v>0.13610778913921237</v>
          </cell>
          <cell r="F393">
            <v>0.23328772864463598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9.1556404416911904E-6</v>
          </cell>
          <cell r="F394">
            <v>1.73024180883961E-4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1.8454212109728522E-4</v>
          </cell>
          <cell r="E395">
            <v>2.269928366048853E-4</v>
          </cell>
          <cell r="F395">
            <v>4.0008432065688715E-4</v>
          </cell>
          <cell r="G395">
            <v>-5.702997263996E-9</v>
          </cell>
          <cell r="H395">
            <v>-2.1899391211836699E-8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1.80437926410512E-3</v>
          </cell>
          <cell r="F396">
            <v>4.6052406869401402E-3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1.2057718926140384E-6</v>
          </cell>
          <cell r="F397">
            <v>3.1595249067774974E-6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3.1992540143707832E-5</v>
          </cell>
          <cell r="F398">
            <v>8.1653203669151449E-5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4.9179877447405898E-8</v>
          </cell>
          <cell r="F399">
            <v>5.7944845714466601E-8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4.9179877447405898E-8</v>
          </cell>
          <cell r="F400">
            <v>1.07124723161873E-7</v>
          </cell>
          <cell r="G400">
            <v>-1.5581943209160035E-10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46.576547345190541</v>
          </cell>
          <cell r="E401">
            <v>68.068266438023841</v>
          </cell>
          <cell r="F401">
            <v>116.69912161630715</v>
          </cell>
          <cell r="H401">
            <v>3.5395569927159498E-4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3.6822495687543352E-2</v>
          </cell>
          <cell r="E402">
            <v>5.4069909315390352E-2</v>
          </cell>
          <cell r="F402">
            <v>9.5905722485974773E-2</v>
          </cell>
          <cell r="H402">
            <v>3.6298826891351229E-7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0.63542356541869871</v>
          </cell>
          <cell r="E403">
            <v>0.92862573585298558</v>
          </cell>
          <cell r="F403">
            <v>1.5920753290082823</v>
          </cell>
          <cell r="H403">
            <v>4.8288635644146591E-6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6.7887425555571395E-5</v>
          </cell>
          <cell r="F404">
            <v>7.8827833437534404E-4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8.0674521910466311E-4</v>
          </cell>
          <cell r="E405">
            <v>1.0203805597586092E-3</v>
          </cell>
          <cell r="F405">
            <v>1.8087220187213522E-3</v>
          </cell>
          <cell r="G405">
            <v>-6.5894147280570053E-9</v>
          </cell>
          <cell r="H405">
            <v>-1.9418388017292701E-8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0.29422612163720641</v>
          </cell>
          <cell r="E406">
            <v>1.9570377489368861E-2</v>
          </cell>
          <cell r="F406">
            <v>2.6201843278051459E-2</v>
          </cell>
          <cell r="H406">
            <v>4.4853151790060863E-4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1.551269349754469E-4</v>
          </cell>
          <cell r="E407">
            <v>1.0384945350709259E-5</v>
          </cell>
          <cell r="F407">
            <v>1.4012679180503827E-5</v>
          </cell>
          <cell r="H407">
            <v>3.0513327252200908E-7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4.0139989309305084E-3</v>
          </cell>
          <cell r="E408">
            <v>2.6699014310189436E-4</v>
          </cell>
          <cell r="F408">
            <v>3.5746034485745491E-4</v>
          </cell>
          <cell r="H408">
            <v>6.1191202987804758E-6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3.7031184605255897E-8</v>
          </cell>
          <cell r="F409">
            <v>3.6977606856320103E-8</v>
          </cell>
          <cell r="H409">
            <v>1.31540765696919E-8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3.4737346071817489E-6</v>
          </cell>
          <cell r="E410">
            <v>3.4100469167315568E-7</v>
          </cell>
          <cell r="F410">
            <v>3.4053878218254474E-7</v>
          </cell>
          <cell r="G410">
            <v>-3.8243777779800547E-9</v>
          </cell>
          <cell r="H410">
            <v>-9.1566486333687995E-9</v>
          </cell>
          <cell r="I410">
            <v>2.3083909593094798E-9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7.7929979240301001E-3</v>
          </cell>
          <cell r="E411">
            <v>7.7923683730454002E-3</v>
          </cell>
          <cell r="F411">
            <v>7.7189301873237396E-3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1.3748630218288677E-3</v>
          </cell>
          <cell r="E412">
            <v>1.1020947761349799E-3</v>
          </cell>
          <cell r="F412">
            <v>6.8657689058599801E-4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1.3817372205727132E-4</v>
          </cell>
          <cell r="E413">
            <v>1.3816255980576944E-4</v>
          </cell>
          <cell r="F413">
            <v>1.3686046431425069E-4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1.4861396303901497E-5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1.2708925633190999</v>
          </cell>
          <cell r="E415">
            <v>1.2694141841122299</v>
          </cell>
          <cell r="F415">
            <v>1.26435684390796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0.24219225702494662</v>
          </cell>
          <cell r="E416">
            <v>0.19378216322341821</v>
          </cell>
          <cell r="F416">
            <v>0.12110520908862091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1.7338234151693076E-2</v>
          </cell>
          <cell r="E417">
            <v>1.7318065267561047E-2</v>
          </cell>
          <cell r="F417">
            <v>1.7249070176097715E-2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2.2837355918988436E-3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1.0748988579696006E-2</v>
          </cell>
          <cell r="E419">
            <v>6.6801391448755978E-2</v>
          </cell>
          <cell r="F419">
            <v>0.11316078809374504</v>
          </cell>
          <cell r="G419">
            <v>2.4603509877033538</v>
          </cell>
          <cell r="H419">
            <v>6.5788357892183766</v>
          </cell>
          <cell r="I419">
            <v>7.7071676055849201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1.0748988579696006E-2</v>
          </cell>
          <cell r="E420">
            <v>6.6801391448755978E-2</v>
          </cell>
          <cell r="F420">
            <v>0.11316078809374504</v>
          </cell>
          <cell r="G420">
            <v>2.4603509877033538</v>
          </cell>
          <cell r="H420">
            <v>6.5788357892183766</v>
          </cell>
          <cell r="I420">
            <v>7.7071676055849201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1.1467698239941201E-3</v>
          </cell>
          <cell r="E421">
            <v>5.9164871366948497E-3</v>
          </cell>
          <cell r="F421">
            <v>4.9021221986412398E-3</v>
          </cell>
          <cell r="G421">
            <v>0.24918455945922999</v>
          </cell>
          <cell r="H421">
            <v>0.342906863712093</v>
          </cell>
          <cell r="I421">
            <v>0.58856335023423201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1.1467698239941201E-3</v>
          </cell>
          <cell r="E422">
            <v>7.0632569606889697E-3</v>
          </cell>
          <cell r="F422">
            <v>1.19653791593302E-2</v>
          </cell>
          <cell r="G422">
            <v>0.26005834905613501</v>
          </cell>
          <cell r="H422">
            <v>0.69537952437974204</v>
          </cell>
          <cell r="I422">
            <v>0.81464252796735004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1.112475668269608E-6</v>
          </cell>
          <cell r="H423">
            <v>1.1571468936138975E-4</v>
          </cell>
          <cell r="I423">
            <v>1.2334620871155017E-4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4.7460209342730825E-6</v>
          </cell>
          <cell r="H424">
            <v>4.3132334593576577E-4</v>
          </cell>
          <cell r="I424">
            <v>4.3053903106101001E-4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4.2224780793886598E-8</v>
          </cell>
          <cell r="H425">
            <v>2.974375823195E-6</v>
          </cell>
          <cell r="I425">
            <v>1.7386826959058299E-6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4.2224780793886598E-8</v>
          </cell>
          <cell r="H426">
            <v>3.08497467933502E-6</v>
          </cell>
          <cell r="I426">
            <v>3.2484442800634701E-6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3.4899653321437051E-6</v>
          </cell>
          <cell r="H427">
            <v>1.648337134981002E-4</v>
          </cell>
          <cell r="I427">
            <v>1.5505799682417982E-4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2.0638285483404638E-5</v>
          </cell>
          <cell r="H428">
            <v>8.5244144499928081E-4</v>
          </cell>
          <cell r="I428">
            <v>7.5539091448865081E-4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8.8832565550042294E-8</v>
          </cell>
          <cell r="H429">
            <v>3.53640865850818E-6</v>
          </cell>
          <cell r="I429">
            <v>1.7067367888521699E-6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8.8832565550042294E-8</v>
          </cell>
          <cell r="H430">
            <v>3.7177345976381199E-6</v>
          </cell>
          <cell r="I430">
            <v>3.5093239080017101E-6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2.9562300278295982E-3</v>
          </cell>
          <cell r="H431">
            <v>2.6210412218181317E-3</v>
          </cell>
          <cell r="I431">
            <v>2.6265885439306978E-3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2.6136257371585071E-2</v>
          </cell>
          <cell r="H432">
            <v>2.0552273222170476E-2</v>
          </cell>
          <cell r="I432">
            <v>1.8495284252634685E-2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6.4248637087611397E-5</v>
          </cell>
          <cell r="H433">
            <v>4.2262968345883299E-5</v>
          </cell>
          <cell r="I433">
            <v>4.3084089320067797E-5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6.4248637087611397E-5</v>
          </cell>
          <cell r="H434">
            <v>5.7467969189076098E-5</v>
          </cell>
          <cell r="I434">
            <v>5.7560053929016402E-5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92.549156392336101</v>
          </cell>
          <cell r="E435">
            <v>91.724550449627401</v>
          </cell>
          <cell r="F435">
            <v>68.277748840951404</v>
          </cell>
          <cell r="G435">
            <v>32.395499138000098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0.61924583726809934</v>
          </cell>
          <cell r="E436">
            <v>0.62769447556433533</v>
          </cell>
          <cell r="F436">
            <v>0.48283609379931081</v>
          </cell>
          <cell r="G436">
            <v>0.24142094101318698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1.2540536096522514</v>
          </cell>
          <cell r="E437">
            <v>1.2428800873933237</v>
          </cell>
          <cell r="F437">
            <v>0.92517274852237674</v>
          </cell>
          <cell r="G437">
            <v>0.43896340295393083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4.389465191769313E-2</v>
          </cell>
          <cell r="G438">
            <v>2.1947333333333301E-2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4.127495483796761E-7</v>
          </cell>
          <cell r="H439">
            <v>4.3237237906095434E-6</v>
          </cell>
          <cell r="I439">
            <v>1.0503876822704425E-6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5.4383104837525093E-6</v>
          </cell>
          <cell r="H440">
            <v>5.0322230772781551E-5</v>
          </cell>
          <cell r="I440">
            <v>1.0848529421181116E-5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2.2351770544746598E-8</v>
          </cell>
          <cell r="H441">
            <v>8.7090593853959494E-8</v>
          </cell>
          <cell r="I441">
            <v>3.5288651631197303E-8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2.2351770544746598E-8</v>
          </cell>
          <cell r="H442">
            <v>1.1159276757626001E-7</v>
          </cell>
          <cell r="I442">
            <v>5.0572061183228203E-8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3.5910357663608199</v>
          </cell>
          <cell r="E446">
            <v>4.40449828764093</v>
          </cell>
          <cell r="F446">
            <v>4.0362066008399404</v>
          </cell>
          <cell r="G446">
            <v>4.1680314941345298</v>
          </cell>
          <cell r="H446">
            <v>2.2043061195250502</v>
          </cell>
          <cell r="I446">
            <v>1.5972817279610001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4.68411748920997</v>
          </cell>
          <cell r="E447">
            <v>9.0886157768509008</v>
          </cell>
          <cell r="F447">
            <v>11.382955373250251</v>
          </cell>
          <cell r="G447">
            <v>11.35814866243577</v>
          </cell>
          <cell r="H447">
            <v>6.4262169471960675</v>
          </cell>
          <cell r="I447">
            <v>3.2038120254765698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8.374215418150591</v>
          </cell>
          <cell r="E448">
            <v>15.538354030321083</v>
          </cell>
          <cell r="F448">
            <v>10.737924631489395</v>
          </cell>
          <cell r="G448">
            <v>8.2987357760527765</v>
          </cell>
          <cell r="H448">
            <v>0.14230966295363029</v>
          </cell>
          <cell r="I448">
            <v>2.65942129464895E-2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8.7137117498137767E-2</v>
          </cell>
          <cell r="E449">
            <v>0.15418362019440551</v>
          </cell>
          <cell r="F449">
            <v>0.10684397621640118</v>
          </cell>
          <cell r="G449">
            <v>8.184232836595233E-2</v>
          </cell>
          <cell r="H449">
            <v>1.1805355342520058E-3</v>
          </cell>
          <cell r="I449">
            <v>2.263614390415576E-4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0.113471753633477</v>
          </cell>
          <cell r="E450">
            <v>0.21054680257887676</v>
          </cell>
          <cell r="F450">
            <v>0.14550033376001881</v>
          </cell>
          <cell r="G450">
            <v>0.11244899425545779</v>
          </cell>
          <cell r="H450">
            <v>1.9283152161738526E-3</v>
          </cell>
          <cell r="I450">
            <v>3.6035518897682207E-4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3.22668180947675E-5</v>
          </cell>
          <cell r="F451">
            <v>1.98056914155605E-4</v>
          </cell>
          <cell r="G451">
            <v>1.1222095574084099E-4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1.3238172530015298E-2</v>
          </cell>
          <cell r="E452">
            <v>1.6484849487043728E-2</v>
          </cell>
          <cell r="F452">
            <v>1.6215434864578007E-2</v>
          </cell>
          <cell r="G452">
            <v>1.2402931124431273E-2</v>
          </cell>
          <cell r="H452">
            <v>1.7478188473138507E-4</v>
          </cell>
          <cell r="I452">
            <v>3.3774688768360264E-5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0.56996131813081363</v>
          </cell>
          <cell r="H453">
            <v>2.5620414228879524</v>
          </cell>
          <cell r="I453">
            <v>10.224359999043134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2.5964775614328258E-3</v>
          </cell>
          <cell r="H454">
            <v>2.5909996442260684E-3</v>
          </cell>
          <cell r="I454">
            <v>1.4247476088206858E-3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2.5297345452836152E-3</v>
          </cell>
          <cell r="H455">
            <v>2.838828049335735E-3</v>
          </cell>
          <cell r="I455">
            <v>1.5176317253587336E-3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2.3014893666812027E-4</v>
          </cell>
          <cell r="H456">
            <v>1.5160615331804704E-3</v>
          </cell>
          <cell r="I456">
            <v>9.513945277907055E-4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1.4102222196416085E-5</v>
          </cell>
          <cell r="H457">
            <v>3.4400786070356611E-4</v>
          </cell>
          <cell r="I457">
            <v>2.5480693463894615E-4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0.16597809875406566</v>
          </cell>
          <cell r="H458">
            <v>0.75087478245504957</v>
          </cell>
          <cell r="I458">
            <v>3.3927591639501391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8.9047015077210898E-2</v>
          </cell>
          <cell r="H459">
            <v>0.45491368098834334</v>
          </cell>
          <cell r="I459">
            <v>1.7668361413478086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9.3853032807461045E-2</v>
          </cell>
          <cell r="H460">
            <v>0.46622193590232608</v>
          </cell>
          <cell r="I460">
            <v>1.3860194946366504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9.4719823620974405E-2</v>
          </cell>
          <cell r="H461">
            <v>0.50870791871568521</v>
          </cell>
          <cell r="I461">
            <v>1.6964352141656569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1.913870381769271E-3</v>
          </cell>
          <cell r="H462">
            <v>2.4433569882090869E-3</v>
          </cell>
          <cell r="I462">
            <v>2.4974000596196177E-3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1.9618818942036996E-4</v>
          </cell>
          <cell r="H463">
            <v>4.707950100262894E-4</v>
          </cell>
          <cell r="I463">
            <v>7.8292538285529409E-4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0.10158675453342213</v>
          </cell>
          <cell r="H464">
            <v>0.28747031280032082</v>
          </cell>
          <cell r="I464">
            <v>1.9089218122891451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1.629020959791932E-3</v>
          </cell>
          <cell r="H465">
            <v>3.052779643406943E-3</v>
          </cell>
          <cell r="I465">
            <v>1.4159907327166298E-3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2.5892014830255458E-4</v>
          </cell>
          <cell r="H466">
            <v>1.3602010097234182E-2</v>
          </cell>
          <cell r="I466">
            <v>1.0696311030897259E-2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3.7107034118929309E-3</v>
          </cell>
          <cell r="H467">
            <v>5.1408956961974473E-3</v>
          </cell>
          <cell r="I467">
            <v>3.7795542788868785E-3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4.565853289341424E-3</v>
          </cell>
          <cell r="H468">
            <v>9.3881221654349648E-3</v>
          </cell>
          <cell r="I468">
            <v>5.8304600681475301E-3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4.7080797481883997E-3</v>
          </cell>
          <cell r="H469">
            <v>1.0519390916627205E-2</v>
          </cell>
          <cell r="I469">
            <v>9.0609827550287552E-3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1.9802956104293082E-4</v>
          </cell>
          <cell r="H470">
            <v>2.6730328392580782E-4</v>
          </cell>
          <cell r="I470">
            <v>1.9867222017036173E-4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1.6173285894764984E-4</v>
          </cell>
          <cell r="H471">
            <v>2.4367889232644911E-4</v>
          </cell>
          <cell r="I471">
            <v>1.8632532791273696E-4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7.1069260006364631E-5</v>
          </cell>
          <cell r="H472">
            <v>1.049022635533213E-4</v>
          </cell>
          <cell r="I472">
            <v>8.8730217478655906E-5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1.2526842235549907E-4</v>
          </cell>
          <cell r="H473">
            <v>2.5011618770011195E-4</v>
          </cell>
          <cell r="I473">
            <v>1.7279854108117297E-4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7.7359759614460373E-4</v>
          </cell>
          <cell r="H474">
            <v>7.6859761062499272E-4</v>
          </cell>
          <cell r="I474">
            <v>4.6696081931967709E-4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1.1608596499286855E-3</v>
          </cell>
          <cell r="H475">
            <v>4.0371992626357912E-2</v>
          </cell>
          <cell r="I475">
            <v>3.4115188508715109E-2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0.34229538667465198</v>
          </cell>
          <cell r="H476">
            <v>1.59622485232974</v>
          </cell>
          <cell r="I476">
            <v>6.5326580147587903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0.34229538667465198</v>
          </cell>
          <cell r="H477">
            <v>3.1883254791049787</v>
          </cell>
          <cell r="I477">
            <v>8.2656523129228994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1.0092130099484E-6</v>
          </cell>
          <cell r="F478">
            <v>5.0003863941989</v>
          </cell>
          <cell r="G478">
            <v>10.5768485075541</v>
          </cell>
          <cell r="H478">
            <v>3.3657191319023998E-5</v>
          </cell>
          <cell r="I478">
            <v>2.8027105641497701E-5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4.0902025072798448E-7</v>
          </cell>
          <cell r="F479">
            <v>2.0265883183537334</v>
          </cell>
          <cell r="G479">
            <v>4.2866522585681812</v>
          </cell>
          <cell r="H479">
            <v>1.3640800005947994E-5</v>
          </cell>
          <cell r="I479">
            <v>1.1359003167479233E-5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8.62645446559187E-6</v>
          </cell>
          <cell r="E480">
            <v>3.6974013750170601E-4</v>
          </cell>
          <cell r="F480">
            <v>5.0000078085585802</v>
          </cell>
          <cell r="G480">
            <v>5.5764633136855704</v>
          </cell>
          <cell r="H480">
            <v>2.4946138446502998E-7</v>
          </cell>
          <cell r="I480">
            <v>1.3805922807888199E-7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8.62645446559187E-6</v>
          </cell>
          <cell r="E481">
            <v>3.7836659196729798E-4</v>
          </cell>
          <cell r="F481">
            <v>5.0003851147159022</v>
          </cell>
          <cell r="G481">
            <v>10.576847157365863</v>
          </cell>
          <cell r="H481">
            <v>-4.0187000394098504E-8</v>
          </cell>
          <cell r="I481">
            <v>8.5325389864721046E-8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3.7172609651839581</v>
          </cell>
          <cell r="E482">
            <v>10.512816866827693</v>
          </cell>
          <cell r="F482">
            <v>32.50250563946463</v>
          </cell>
          <cell r="G482">
            <v>74.278247858053675</v>
          </cell>
          <cell r="H482">
            <v>69.116151536901086</v>
          </cell>
          <cell r="I482">
            <v>10.709938115255699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1.7691221234214384E-2</v>
          </cell>
          <cell r="E483">
            <v>5.003269093232067E-2</v>
          </cell>
          <cell r="F483">
            <v>0.15468621205764976</v>
          </cell>
          <cell r="G483">
            <v>0.35350569358845302</v>
          </cell>
          <cell r="H483">
            <v>0.32893819916038425</v>
          </cell>
          <cell r="I483">
            <v>5.0970832119761472E-2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5.0369389772140401E-2</v>
          </cell>
          <cell r="E484">
            <v>0.14245009304644538</v>
          </cell>
          <cell r="F484">
            <v>0.44041335554830197</v>
          </cell>
          <cell r="G484">
            <v>1.0064803232798594</v>
          </cell>
          <cell r="H484">
            <v>0.93653321865719574</v>
          </cell>
          <cell r="I484">
            <v>0.14512111267284178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5.9534847236648598E-5</v>
          </cell>
          <cell r="F485">
            <v>1.1751414777004299E-2</v>
          </cell>
          <cell r="G485">
            <v>2.06325103766603E-2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1.7611201865920002E-3</v>
          </cell>
          <cell r="E486">
            <v>3.5077425109791473E-3</v>
          </cell>
          <cell r="F486">
            <v>1.5259236227403399E-2</v>
          </cell>
          <cell r="G486">
            <v>3.5185779940419798E-2</v>
          </cell>
          <cell r="H486">
            <v>3.2565395161919711E-2</v>
          </cell>
          <cell r="I486">
            <v>5.0735306027029818E-3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103.07058177128084</v>
          </cell>
          <cell r="E487">
            <v>183.58041596742507</v>
          </cell>
          <cell r="F487">
            <v>178.21770348459194</v>
          </cell>
          <cell r="G487">
            <v>145.17098916268793</v>
          </cell>
          <cell r="H487">
            <v>0.11219669219999107</v>
          </cell>
          <cell r="I487">
            <v>2.2027846355303801E-2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0.86902384905724828</v>
          </cell>
          <cell r="E488">
            <v>1.5502752590345434</v>
          </cell>
          <cell r="F488">
            <v>1.5069041479737983</v>
          </cell>
          <cell r="G488">
            <v>1.2286851165785846</v>
          </cell>
          <cell r="H488">
            <v>7.618260858602698E-4</v>
          </cell>
          <cell r="I488">
            <v>1.5059614995207337E-4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1.3966203492043483</v>
          </cell>
          <cell r="E489">
            <v>2.4875395117537322</v>
          </cell>
          <cell r="F489">
            <v>2.4148740309565264</v>
          </cell>
          <cell r="G489">
            <v>1.9670865740201664</v>
          </cell>
          <cell r="H489">
            <v>1.5202803821137E-3</v>
          </cell>
          <cell r="I489">
            <v>2.9848030291739603E-4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2.59809943422585E-5</v>
          </cell>
          <cell r="F490">
            <v>7.2228999058128598E-5</v>
          </cell>
          <cell r="G490">
            <v>3.0530758185303102E-5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9.1658171847020992E-2</v>
          </cell>
          <cell r="E491">
            <v>0.11762562140196861</v>
          </cell>
          <cell r="F491">
            <v>0.11435217896812955</v>
          </cell>
          <cell r="G491">
            <v>9.322827624043252E-2</v>
          </cell>
          <cell r="H491">
            <v>6.9163868613391109E-5</v>
          </cell>
          <cell r="I491">
            <v>1.5070926097140262E-5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0.40558483747096569</v>
          </cell>
          <cell r="E492">
            <v>0.42801254842614989</v>
          </cell>
          <cell r="F492">
            <v>0.34706367203024596</v>
          </cell>
          <cell r="G492">
            <v>0.26638387647529682</v>
          </cell>
          <cell r="H492">
            <v>2.7021623696168222E-2</v>
          </cell>
          <cell r="I492">
            <v>4.8589475347709798E-3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4.1612740796007934E-3</v>
          </cell>
          <cell r="E493">
            <v>4.5142786769935576E-3</v>
          </cell>
          <cell r="F493">
            <v>3.6741118289697686E-3</v>
          </cell>
          <cell r="G493">
            <v>2.8666516839029343E-3</v>
          </cell>
          <cell r="H493">
            <v>2.4178038004313195E-4</v>
          </cell>
          <cell r="I493">
            <v>4.3172220031527076E-5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5.5332174279804254E-3</v>
          </cell>
          <cell r="E494">
            <v>5.8391889280511545E-3</v>
          </cell>
          <cell r="F494">
            <v>4.7348386361561572E-3</v>
          </cell>
          <cell r="G494">
            <v>3.6341592970709014E-3</v>
          </cell>
          <cell r="H494">
            <v>3.6864425233517338E-4</v>
          </cell>
          <cell r="I494">
            <v>6.6288506613519473E-5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2.82463865924998E-5</v>
          </cell>
          <cell r="F495">
            <v>4.9061303112733199E-5</v>
          </cell>
          <cell r="G495">
            <v>2.4613076750476501E-5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4.4479404428632302E-4</v>
          </cell>
          <cell r="E496">
            <v>5.0069515367122289E-4</v>
          </cell>
          <cell r="F496">
            <v>5.4441630579652302E-4</v>
          </cell>
          <cell r="G496">
            <v>4.1828549201017897E-4</v>
          </cell>
          <cell r="H496">
            <v>3.4409845746923275E-5</v>
          </cell>
          <cell r="I496">
            <v>6.1240881283312649E-6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51.405900279812691</v>
          </cell>
          <cell r="E497">
            <v>117.87794213103656</v>
          </cell>
          <cell r="F497">
            <v>111.39790554784911</v>
          </cell>
          <cell r="G497">
            <v>90.933589237429175</v>
          </cell>
          <cell r="H497">
            <v>0.12490130566311514</v>
          </cell>
          <cell r="I497">
            <v>2.33647005045667E-2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0.3591189522328424</v>
          </cell>
          <cell r="E498">
            <v>0.82813150366199961</v>
          </cell>
          <cell r="F498">
            <v>0.78277326757594889</v>
          </cell>
          <cell r="G498">
            <v>0.63952263080342353</v>
          </cell>
          <cell r="H498">
            <v>7.8505981266869043E-4</v>
          </cell>
          <cell r="I498">
            <v>1.4846772804936773E-4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0.69655691436060485</v>
          </cell>
          <cell r="E499">
            <v>1.5972620884964324</v>
          </cell>
          <cell r="F499">
            <v>1.5094567147405018</v>
          </cell>
          <cell r="G499">
            <v>1.2321624557917219</v>
          </cell>
          <cell r="H499">
            <v>1.6924296160313722E-3</v>
          </cell>
          <cell r="I499">
            <v>3.165948577854565E-4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3.3454688311804202E-5</v>
          </cell>
          <cell r="F500">
            <v>4.0673535540229203E-5</v>
          </cell>
          <cell r="G500">
            <v>2.30599374801394E-5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3.5272046364102E-2</v>
          </cell>
          <cell r="E501">
            <v>5.694703679522739E-2</v>
          </cell>
          <cell r="F501">
            <v>5.3851521933189206E-2</v>
          </cell>
          <cell r="G501">
            <v>4.3984769581769834E-2</v>
          </cell>
          <cell r="H501">
            <v>5.839193685137409E-5</v>
          </cell>
          <cell r="I501">
            <v>1.352524151682763E-5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89.583082570304896</v>
          </cell>
          <cell r="E502">
            <v>94.0435281280499</v>
          </cell>
          <cell r="F502">
            <v>81.507673300607891</v>
          </cell>
          <cell r="G502">
            <v>60.862267997152763</v>
          </cell>
          <cell r="H502">
            <v>3.1050355292929981E-2</v>
          </cell>
          <cell r="I502">
            <v>6.0326261036006404E-3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0.85103086074516909</v>
          </cell>
          <cell r="E503">
            <v>0.90297238766772558</v>
          </cell>
          <cell r="F503">
            <v>0.81706345138066683</v>
          </cell>
          <cell r="G503">
            <v>0.63312836199492006</v>
          </cell>
          <cell r="H503">
            <v>2.2374385590229944E-4</v>
          </cell>
          <cell r="I503">
            <v>4.3012346251645676E-5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1.2221430091446817</v>
          </cell>
          <cell r="E504">
            <v>1.2829949267128213</v>
          </cell>
          <cell r="F504">
            <v>1.1119737148786879</v>
          </cell>
          <cell r="G504">
            <v>0.83031743515897172</v>
          </cell>
          <cell r="H504">
            <v>4.23606484214597E-4</v>
          </cell>
          <cell r="I504">
            <v>8.2300492545711324E-5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1.7761322933419001E-5</v>
          </cell>
          <cell r="F505">
            <v>2.6226985789402801E-5</v>
          </cell>
          <cell r="G505">
            <v>1.27803034486521E-5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6.4569876423197003E-2</v>
          </cell>
          <cell r="E506">
            <v>6.8522125601414449E-2</v>
          </cell>
          <cell r="F506">
            <v>6.7926694540327556E-2</v>
          </cell>
          <cell r="G506">
            <v>5.1509503697828335E-2</v>
          </cell>
          <cell r="H506">
            <v>2.0881316529941721E-5</v>
          </cell>
          <cell r="I506">
            <v>4.0413571765370914E-6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2.3512507860940857E-6</v>
          </cell>
          <cell r="H507">
            <v>1.91671767970508E-6</v>
          </cell>
          <cell r="I507">
            <v>2.0487934923744998E-6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1.4195211050867121E-4</v>
          </cell>
          <cell r="H508">
            <v>1.0682923267815785E-4</v>
          </cell>
          <cell r="I508">
            <v>1.0604478709609151E-4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6.9723813283768696E-8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6.9723813283768696E-8</v>
          </cell>
          <cell r="H510">
            <v>6.9723813283768696E-8</v>
          </cell>
          <cell r="I510">
            <v>6.9723813283768696E-8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36.514277205166167</v>
          </cell>
          <cell r="E511">
            <v>100.25562885923563</v>
          </cell>
          <cell r="F511">
            <v>93.946869822043126</v>
          </cell>
          <cell r="G511">
            <v>74.118312074827188</v>
          </cell>
          <cell r="H511">
            <v>2.0925134692879239</v>
          </cell>
          <cell r="I511">
            <v>0.42923025944413001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0.21027608163140338</v>
          </cell>
          <cell r="E512">
            <v>0.58249538982385174</v>
          </cell>
          <cell r="F512">
            <v>0.54588041217168393</v>
          </cell>
          <cell r="G512">
            <v>0.43075744940148825</v>
          </cell>
          <cell r="H512">
            <v>1.3402451468422725E-2</v>
          </cell>
          <cell r="I512">
            <v>2.752767752499941E-3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0.49477340386404078</v>
          </cell>
          <cell r="E513">
            <v>1.3584773558162004</v>
          </cell>
          <cell r="F513">
            <v>1.2729928160168402</v>
          </cell>
          <cell r="G513">
            <v>1.0043131717456253</v>
          </cell>
          <cell r="H513">
            <v>2.8353841047261776E-2</v>
          </cell>
          <cell r="I513">
            <v>5.8161281767497219E-3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3.3002555550581999E-5</v>
          </cell>
          <cell r="F514">
            <v>5.4524144343804502E-5</v>
          </cell>
          <cell r="G514">
            <v>3.66132951669054E-5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2.3651682140052005E-2</v>
          </cell>
          <cell r="E515">
            <v>4.5873169283833864E-2</v>
          </cell>
          <cell r="F515">
            <v>4.3024462922829021E-2</v>
          </cell>
          <cell r="G515">
            <v>3.3935662917547141E-2</v>
          </cell>
          <cell r="H515">
            <v>1.0702055846350386E-3</v>
          </cell>
          <cell r="I515">
            <v>3.0818563426237883E-4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370.10624157924366</v>
          </cell>
          <cell r="E516">
            <v>390.453395383692</v>
          </cell>
          <cell r="F516">
            <v>386.67574464318278</v>
          </cell>
          <cell r="G516">
            <v>295.32872358486827</v>
          </cell>
          <cell r="H516">
            <v>3.096434166585077E-2</v>
          </cell>
          <cell r="I516">
            <v>6.0872069631217E-3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2.6650491325641368</v>
          </cell>
          <cell r="E517">
            <v>2.8360939942157128</v>
          </cell>
          <cell r="F517">
            <v>2.806195337690744</v>
          </cell>
          <cell r="G517">
            <v>2.1805992559932683</v>
          </cell>
          <cell r="H517">
            <v>2.0380421454846981E-4</v>
          </cell>
          <cell r="I517">
            <v>4.0341389455856323E-5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5.0491983844371564</v>
          </cell>
          <cell r="E518">
            <v>5.3267857487543413</v>
          </cell>
          <cell r="F518">
            <v>5.2752489037269115</v>
          </cell>
          <cell r="G518">
            <v>4.0290412494525105</v>
          </cell>
          <cell r="H518">
            <v>4.2243303773329809E-4</v>
          </cell>
          <cell r="I518">
            <v>8.3045115458686274E-5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1.5763368786486098E-5</v>
          </cell>
          <cell r="F519">
            <v>1.7435538037385402E-5</v>
          </cell>
          <cell r="G519">
            <v>1.03084284013432E-5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0.18324172870363001</v>
          </cell>
          <cell r="E520">
            <v>0.19501157878010714</v>
          </cell>
          <cell r="F520">
            <v>0.19299389370413278</v>
          </cell>
          <cell r="G520">
            <v>0.14995602597049881</v>
          </cell>
          <cell r="H520">
            <v>1.7051780833412678E-5</v>
          </cell>
          <cell r="I520">
            <v>3.4117688017957234E-6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142.35644669138293</v>
          </cell>
          <cell r="E521">
            <v>162.04022394617289</v>
          </cell>
          <cell r="F521">
            <v>159.10061391582076</v>
          </cell>
          <cell r="G521">
            <v>121.83978141580458</v>
          </cell>
          <cell r="H521">
            <v>2.6393250863605527E-2</v>
          </cell>
          <cell r="I521">
            <v>5.2374977567914201E-3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0.90500971417976661</v>
          </cell>
          <cell r="E522">
            <v>1.0074982149976921</v>
          </cell>
          <cell r="F522">
            <v>0.991510944180517</v>
          </cell>
          <cell r="G522">
            <v>0.7708211402901104</v>
          </cell>
          <cell r="H522">
            <v>1.611295789705606E-4</v>
          </cell>
          <cell r="I522">
            <v>3.2800585560023637E-5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1.9421070489956715</v>
          </cell>
          <cell r="E523">
            <v>2.210644255745879</v>
          </cell>
          <cell r="F523">
            <v>2.1705404354136539</v>
          </cell>
          <cell r="G523">
            <v>1.6622071134489029</v>
          </cell>
          <cell r="H523">
            <v>3.6007163524700555E-4</v>
          </cell>
          <cell r="I523">
            <v>7.1452902548314073E-5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8.7700675597514307E-6</v>
          </cell>
          <cell r="F524">
            <v>1.2947882354714001E-5</v>
          </cell>
          <cell r="G524">
            <v>9.4678565467925096E-6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7.1262600828887204E-2</v>
          </cell>
          <cell r="E525">
            <v>7.9345896955903814E-2</v>
          </cell>
          <cell r="F525">
            <v>7.8222442416202173E-2</v>
          </cell>
          <cell r="G525">
            <v>6.1076647663294958E-2</v>
          </cell>
          <cell r="H525">
            <v>1.5613954616219309E-5</v>
          </cell>
          <cell r="I525">
            <v>3.194734490786244E-6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6.0452752029888801</v>
          </cell>
          <cell r="E526">
            <v>1.83896142525243</v>
          </cell>
          <cell r="F526">
            <v>3.9419450515042498</v>
          </cell>
          <cell r="G526">
            <v>9.962207690018311E-4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2.9752964097318552E-2</v>
          </cell>
          <cell r="E527">
            <v>9.1351497997942607E-3</v>
          </cell>
          <cell r="F527">
            <v>1.9853072767250013E-2</v>
          </cell>
          <cell r="G527">
            <v>5.0173310791564199E-6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0.10718573054944805</v>
          </cell>
          <cell r="E528">
            <v>3.2605699029298468E-2</v>
          </cell>
          <cell r="F528">
            <v>6.9892642757167459E-2</v>
          </cell>
          <cell r="G528">
            <v>1.7663488812089204E-5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1.39E-3</v>
          </cell>
          <cell r="G529">
            <v>3.2146602117993743E-7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5140.3513244178102</v>
          </cell>
          <cell r="E530">
            <v>5702.3238056241298</v>
          </cell>
          <cell r="F530">
            <v>4869.6324517656203</v>
          </cell>
          <cell r="G530">
            <v>2720.0967450724302</v>
          </cell>
          <cell r="H530">
            <v>740.98291381659203</v>
          </cell>
          <cell r="I530">
            <v>248.57700933787601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72.603132407045422</v>
          </cell>
          <cell r="E531">
            <v>80.540664966370244</v>
          </cell>
          <cell r="F531">
            <v>68.779721565454281</v>
          </cell>
          <cell r="G531">
            <v>39.290551969400767</v>
          </cell>
          <cell r="H531">
            <v>11.08825082992044</v>
          </cell>
          <cell r="I531">
            <v>4.0704381000053749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69.652456970431075</v>
          </cell>
          <cell r="E532">
            <v>77.267260238809328</v>
          </cell>
          <cell r="F532">
            <v>65.984179563219811</v>
          </cell>
          <cell r="G532">
            <v>36.857679472526151</v>
          </cell>
          <cell r="H532">
            <v>10.040418886403691</v>
          </cell>
          <cell r="I532">
            <v>3.3682521590498076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4.0335730724466696</v>
          </cell>
          <cell r="E533">
            <v>4.4746930336723336</v>
          </cell>
          <cell r="F533">
            <v>3.8214122908479724</v>
          </cell>
          <cell r="G533">
            <v>3.0189029035523767</v>
          </cell>
          <cell r="H533">
            <v>1.2132165484585404</v>
          </cell>
          <cell r="I533">
            <v>0.76289863870822106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0.69935397606207439</v>
          </cell>
          <cell r="E534">
            <v>0.70503009423740082</v>
          </cell>
          <cell r="F534">
            <v>0.70570394656959967</v>
          </cell>
          <cell r="G534">
            <v>0.51715346570198506</v>
          </cell>
          <cell r="H534">
            <v>4.0722106364881355E-2</v>
          </cell>
          <cell r="I534">
            <v>1.4535431951585975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6.3010953696580677E-2</v>
          </cell>
          <cell r="E535">
            <v>6.3520976460050449E-2</v>
          </cell>
          <cell r="F535">
            <v>6.3580796393514202E-2</v>
          </cell>
          <cell r="G535">
            <v>4.6587888089753032E-2</v>
          </cell>
          <cell r="H535">
            <v>3.5064250216028238E-3</v>
          </cell>
          <cell r="I535">
            <v>0.12203436931490967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0.234768006508423</v>
          </cell>
          <cell r="E536">
            <v>6.3449070549758996E-5</v>
          </cell>
          <cell r="F536">
            <v>2.9034891882644798E-4</v>
          </cell>
          <cell r="G536">
            <v>7.5639374703497203E-4</v>
          </cell>
          <cell r="H536">
            <v>1.0475645954614801E-2</v>
          </cell>
          <cell r="I536">
            <v>0.57661998911679502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0.24070893096190776</v>
          </cell>
          <cell r="E537">
            <v>0.24266675592053633</v>
          </cell>
          <cell r="F537">
            <v>0.24295753028746064</v>
          </cell>
          <cell r="G537">
            <v>0.17803349877830804</v>
          </cell>
          <cell r="H537">
            <v>1.4047223590752242E-2</v>
          </cell>
          <cell r="I537">
            <v>0.58247674902649016</v>
          </cell>
        </row>
        <row r="538">
          <cell r="A538" t="str">
            <v>T_TW-BEVELC-S2</v>
          </cell>
          <cell r="B538" t="str">
            <v>VAR_fout</v>
          </cell>
          <cell r="C538" t="str">
            <v>TPTWL</v>
          </cell>
          <cell r="D538">
            <v>2.425964081729899E-3</v>
          </cell>
          <cell r="E538">
            <v>2.8969630278419529E-3</v>
          </cell>
          <cell r="F538">
            <v>3.1399862164355938E-3</v>
          </cell>
          <cell r="G538">
            <v>3.1308964954111038E-3</v>
          </cell>
          <cell r="H538">
            <v>1.5657312784241432E-3</v>
          </cell>
          <cell r="I538">
            <v>1.0182007106915626E-3</v>
          </cell>
        </row>
        <row r="539">
          <cell r="A539" t="str">
            <v>T_TW-BEVELC-S2</v>
          </cell>
          <cell r="B539" t="str">
            <v>VAR_fin</v>
          </cell>
          <cell r="C539" t="str">
            <v>T-ELC-TWSTGout_S2</v>
          </cell>
          <cell r="D539">
            <v>3.8602190740756972E-4</v>
          </cell>
          <cell r="E539">
            <v>4.607060706480579E-4</v>
          </cell>
          <cell r="F539">
            <v>4.9867593088447331E-4</v>
          </cell>
          <cell r="G539">
            <v>4.9552676805686674E-4</v>
          </cell>
          <cell r="H539">
            <v>2.3948326824380038E-4</v>
          </cell>
          <cell r="I539">
            <v>1.5339254697279063E-4</v>
          </cell>
        </row>
        <row r="540">
          <cell r="A540" t="str">
            <v>T_TW-BEVELC-S2</v>
          </cell>
          <cell r="B540" t="str">
            <v>VAR_ncap</v>
          </cell>
          <cell r="C540" t="str">
            <v>-</v>
          </cell>
          <cell r="D540">
            <v>5.1410246509109299E-5</v>
          </cell>
          <cell r="E540">
            <v>5.25358956499424E-5</v>
          </cell>
          <cell r="F540">
            <v>1.2811505676458101E-4</v>
          </cell>
          <cell r="G540">
            <v>1.51946985133555E-4</v>
          </cell>
          <cell r="H540">
            <v>1.9670306625258599E-4</v>
          </cell>
          <cell r="I540">
            <v>1.6500864905370899E-4</v>
          </cell>
        </row>
        <row r="541">
          <cell r="A541" t="str">
            <v>T_TW-BEVELC-S2</v>
          </cell>
          <cell r="B541" t="str">
            <v>VAR_cap</v>
          </cell>
          <cell r="C541" t="str">
            <v>-</v>
          </cell>
          <cell r="D541">
            <v>8.3634296662099311E-4</v>
          </cell>
          <cell r="E541">
            <v>1.0059467270629088E-3</v>
          </cell>
          <cell r="F541">
            <v>1.1343695258106427E-3</v>
          </cell>
          <cell r="G541">
            <v>1.1215152275330905E-3</v>
          </cell>
          <cell r="H541">
            <v>5.8622643383191291E-4</v>
          </cell>
          <cell r="I541">
            <v>3.9981356633368064E-4</v>
          </cell>
        </row>
        <row r="542">
          <cell r="A542" t="str">
            <v>TFRLFH2OFCL</v>
          </cell>
          <cell r="B542" t="str">
            <v>VAR_fout</v>
          </cell>
          <cell r="C542" t="str">
            <v>TFRLF</v>
          </cell>
          <cell r="G542">
            <v>4.3797640617145053E-7</v>
          </cell>
          <cell r="H542">
            <v>7.8854855528221497E-7</v>
          </cell>
          <cell r="I542">
            <v>4.9841902566715962E-7</v>
          </cell>
        </row>
        <row r="543">
          <cell r="A543" t="str">
            <v>TFRLFH2OFCL</v>
          </cell>
          <cell r="B543" t="str">
            <v>VAR_fin</v>
          </cell>
          <cell r="C543" t="str">
            <v>TH2O</v>
          </cell>
          <cell r="G543">
            <v>5.0576709247386826E-5</v>
          </cell>
          <cell r="H543">
            <v>1.0806664113396964E-4</v>
          </cell>
          <cell r="I543">
            <v>8.3992356095234197E-5</v>
          </cell>
        </row>
        <row r="544">
          <cell r="A544" t="str">
            <v>TFRLFH2OFCL</v>
          </cell>
          <cell r="B544" t="str">
            <v>VAR_ncap</v>
          </cell>
          <cell r="C544" t="str">
            <v>-</v>
          </cell>
          <cell r="G544">
            <v>1.47199654072618E-7</v>
          </cell>
        </row>
        <row r="545">
          <cell r="A545" t="str">
            <v>TFRLFH2OFCL</v>
          </cell>
          <cell r="B545" t="str">
            <v>VAR_cap</v>
          </cell>
          <cell r="C545" t="str">
            <v>-</v>
          </cell>
          <cell r="G545">
            <v>1.47199654072618E-7</v>
          </cell>
          <cell r="H545">
            <v>1.61425995694992E-7</v>
          </cell>
          <cell r="I545">
            <v>1.61425995694992E-7</v>
          </cell>
        </row>
        <row r="546">
          <cell r="A546" t="str">
            <v>T_TW-BEVELC-S3</v>
          </cell>
          <cell r="B546" t="str">
            <v>VAR_fout</v>
          </cell>
          <cell r="C546" t="str">
            <v>TPTWL</v>
          </cell>
          <cell r="D546">
            <v>3.6584838023575569E-4</v>
          </cell>
          <cell r="E546">
            <v>6.2687706041899465E-4</v>
          </cell>
          <cell r="F546">
            <v>7.9995054263042617E-4</v>
          </cell>
          <cell r="G546">
            <v>9.902485089874609E-4</v>
          </cell>
          <cell r="H546">
            <v>9.9142425659516273E-4</v>
          </cell>
          <cell r="I546">
            <v>5.442436010509432E-4</v>
          </cell>
        </row>
        <row r="547">
          <cell r="A547" t="str">
            <v>T_TW-BEVELC-S3</v>
          </cell>
          <cell r="B547" t="str">
            <v>VAR_fin</v>
          </cell>
          <cell r="C547" t="str">
            <v>T-ELC-TWSTGout_S3</v>
          </cell>
          <cell r="D547">
            <v>8.9446348395765129E-5</v>
          </cell>
          <cell r="E547">
            <v>1.5297448308817575E-4</v>
          </cell>
          <cell r="F547">
            <v>1.946054103752437E-4</v>
          </cell>
          <cell r="G547">
            <v>2.3972385029655965E-4</v>
          </cell>
          <cell r="H547">
            <v>2.355868774857252E-4</v>
          </cell>
          <cell r="I547">
            <v>1.2565030523115298E-4</v>
          </cell>
        </row>
        <row r="548">
          <cell r="A548" t="str">
            <v>T_TW-BEVELC-S3</v>
          </cell>
          <cell r="B548" t="str">
            <v>VAR_ncap</v>
          </cell>
          <cell r="C548" t="str">
            <v>-</v>
          </cell>
          <cell r="D548">
            <v>2.1309359172613301E-5</v>
          </cell>
          <cell r="E548">
            <v>4.2332587061121402E-5</v>
          </cell>
          <cell r="F548">
            <v>6.8536827116880096E-5</v>
          </cell>
          <cell r="G548">
            <v>7.1264892814801E-5</v>
          </cell>
          <cell r="H548">
            <v>6.82176127099592E-5</v>
          </cell>
          <cell r="I548">
            <v>6.0513975852696699E-5</v>
          </cell>
        </row>
        <row r="549">
          <cell r="A549" t="str">
            <v>T_TW-BEVELC-S3</v>
          </cell>
          <cell r="B549" t="str">
            <v>VAR_cap</v>
          </cell>
          <cell r="C549" t="str">
            <v>-</v>
          </cell>
          <cell r="D549">
            <v>1.2829551725228533E-4</v>
          </cell>
          <cell r="E549">
            <v>2.251814105794092E-4</v>
          </cell>
          <cell r="F549">
            <v>2.9388576254433342E-4</v>
          </cell>
          <cell r="G549">
            <v>3.6516519283694528E-4</v>
          </cell>
          <cell r="H549">
            <v>3.7977618710313151E-4</v>
          </cell>
          <cell r="I549">
            <v>2.1281976364464719E-4</v>
          </cell>
        </row>
        <row r="550">
          <cell r="A550" t="str">
            <v>T_TW-BEVELC-S4</v>
          </cell>
          <cell r="B550" t="str">
            <v>VAR_fout</v>
          </cell>
          <cell r="C550" t="str">
            <v>TPTWL</v>
          </cell>
          <cell r="D550">
            <v>2.8883321620754959E-4</v>
          </cell>
          <cell r="E550">
            <v>4.5984182868783586E-4</v>
          </cell>
          <cell r="F550">
            <v>6.7195630221586423E-4</v>
          </cell>
          <cell r="G550">
            <v>8.4133166966502923E-4</v>
          </cell>
          <cell r="H550">
            <v>1.2204165036619936E-3</v>
          </cell>
          <cell r="I550">
            <v>7.8267966720643918E-4</v>
          </cell>
        </row>
        <row r="551">
          <cell r="A551" t="str">
            <v>T_TW-BEVELC-S4</v>
          </cell>
          <cell r="B551" t="str">
            <v>VAR_fin</v>
          </cell>
          <cell r="C551" t="str">
            <v>T-ELC-TWSTGout_S4</v>
          </cell>
          <cell r="D551">
            <v>7.6714239921094653E-5</v>
          </cell>
          <cell r="E551">
            <v>1.2184603275534597E-4</v>
          </cell>
          <cell r="F551">
            <v>1.7721533188211924E-4</v>
          </cell>
          <cell r="G551">
            <v>2.206724730354198E-4</v>
          </cell>
          <cell r="H551">
            <v>3.1567780672164846E-4</v>
          </cell>
          <cell r="I551">
            <v>1.9763780068327122E-4</v>
          </cell>
        </row>
        <row r="552">
          <cell r="A552" t="str">
            <v>T_TW-BEVELC-S4</v>
          </cell>
          <cell r="B552" t="str">
            <v>VAR_ncap</v>
          </cell>
          <cell r="C552" t="str">
            <v>-</v>
          </cell>
          <cell r="D552">
            <v>8.7984679956664097E-5</v>
          </cell>
          <cell r="E552">
            <v>5.1184695160859401E-5</v>
          </cell>
          <cell r="F552">
            <v>8.0024440919438904E-5</v>
          </cell>
          <cell r="G552">
            <v>6.5308372626589895E-5</v>
          </cell>
          <cell r="H552">
            <v>7.1916835986946505E-5</v>
          </cell>
          <cell r="I552">
            <v>5.4773574539885603E-5</v>
          </cell>
        </row>
        <row r="553">
          <cell r="A553" t="str">
            <v>T_TW-BEVELC-S4</v>
          </cell>
          <cell r="B553" t="str">
            <v>VAR_cap</v>
          </cell>
          <cell r="C553" t="str">
            <v>-</v>
          </cell>
          <cell r="D553">
            <v>1.009846799566641E-4</v>
          </cell>
          <cell r="E553">
            <v>1.6593180723568256E-4</v>
          </cell>
          <cell r="F553">
            <v>2.4604423649399361E-4</v>
          </cell>
          <cell r="G553">
            <v>3.1128372666620337E-4</v>
          </cell>
          <cell r="H553">
            <v>4.6610417009311538E-4</v>
          </cell>
          <cell r="I553">
            <v>3.0666199568431371E-4</v>
          </cell>
        </row>
        <row r="554">
          <cell r="A554" t="str">
            <v>T_B_u-BeVELCEXT</v>
          </cell>
          <cell r="B554" t="str">
            <v>VAR_fout</v>
          </cell>
          <cell r="C554" t="str">
            <v>TPBSu</v>
          </cell>
          <cell r="D554">
            <v>1.4742306816817744E-3</v>
          </cell>
          <cell r="E554">
            <v>1.6071642175089706E-3</v>
          </cell>
          <cell r="F554">
            <v>1.0038537927189836E-3</v>
          </cell>
        </row>
        <row r="555">
          <cell r="A555" t="str">
            <v>T_B_u-BeVELCEXT</v>
          </cell>
          <cell r="B555" t="str">
            <v>VAR_fin</v>
          </cell>
          <cell r="C555" t="str">
            <v>TELC</v>
          </cell>
          <cell r="D555">
            <v>3.5179430130688678E-4</v>
          </cell>
          <cell r="E555">
            <v>4.7637313626618094E-4</v>
          </cell>
          <cell r="F555">
            <v>4.6724113179190884E-4</v>
          </cell>
        </row>
        <row r="556">
          <cell r="A556" t="str">
            <v>T_B_u-BeVELCEXT</v>
          </cell>
          <cell r="B556" t="str">
            <v>VAR_cap</v>
          </cell>
          <cell r="C556" t="str">
            <v>-</v>
          </cell>
          <cell r="D556">
            <v>3.77895550061805E-5</v>
          </cell>
          <cell r="E556">
            <v>3.02316440049444E-5</v>
          </cell>
          <cell r="F556">
            <v>1.8894777503090199E-5</v>
          </cell>
        </row>
        <row r="557">
          <cell r="A557" t="str">
            <v>T_B_u-HYBDSL-S1</v>
          </cell>
          <cell r="B557" t="str">
            <v>VAR_fout</v>
          </cell>
          <cell r="C557" t="str">
            <v>CO2_T</v>
          </cell>
          <cell r="E557">
            <v>5.0593836117728097</v>
          </cell>
          <cell r="F557">
            <v>5.0910842736325517</v>
          </cell>
          <cell r="H557">
            <v>1.1278955519837001E-4</v>
          </cell>
        </row>
        <row r="558">
          <cell r="A558" t="str">
            <v>T_B_u-HYBDSL-S1</v>
          </cell>
          <cell r="B558" t="str">
            <v>VAR_fout</v>
          </cell>
          <cell r="C558" t="str">
            <v>TPBSu</v>
          </cell>
          <cell r="E558">
            <v>1.1217178020385793E-2</v>
          </cell>
          <cell r="F558">
            <v>1.1291256923595543E-2</v>
          </cell>
          <cell r="H558">
            <v>3.1490046343529476E-7</v>
          </cell>
        </row>
        <row r="559">
          <cell r="A559" t="str">
            <v>T_B_u-HYBDSL-S1</v>
          </cell>
          <cell r="B559" t="str">
            <v>VAR_fin</v>
          </cell>
          <cell r="C559" t="str">
            <v>TDSL</v>
          </cell>
          <cell r="E559">
            <v>6.9022968782712329E-2</v>
          </cell>
          <cell r="F559">
            <v>6.9455447116406027E-2</v>
          </cell>
          <cell r="H559">
            <v>1.5387388158031351E-6</v>
          </cell>
        </row>
        <row r="560">
          <cell r="A560" t="str">
            <v>T_B_u-HYBDSL-S1</v>
          </cell>
          <cell r="B560" t="str">
            <v>VAR_ncap</v>
          </cell>
          <cell r="C560" t="str">
            <v>-</v>
          </cell>
          <cell r="E560">
            <v>2.1167565405915201E-4</v>
          </cell>
          <cell r="F560">
            <v>1.6115802517326299E-6</v>
          </cell>
          <cell r="H560">
            <v>1.8575222004622699E-8</v>
          </cell>
        </row>
        <row r="561">
          <cell r="A561" t="str">
            <v>T_B_u-HYBDSL-S1</v>
          </cell>
          <cell r="B561" t="str">
            <v>VAR_cap</v>
          </cell>
          <cell r="C561" t="str">
            <v>-</v>
          </cell>
          <cell r="E561">
            <v>2.1167565405915201E-4</v>
          </cell>
          <cell r="F561">
            <v>2.1326051151584032E-4</v>
          </cell>
          <cell r="G561">
            <v>6.4671706710033895E-9</v>
          </cell>
          <cell r="H561">
            <v>2.0068101439079398E-8</v>
          </cell>
          <cell r="I561">
            <v>1.43986085441048E-8</v>
          </cell>
        </row>
        <row r="562">
          <cell r="A562" t="str">
            <v>T_B_u-HYBDSL-S2</v>
          </cell>
          <cell r="B562" t="str">
            <v>VAR_fout</v>
          </cell>
          <cell r="C562" t="str">
            <v>CO2_T</v>
          </cell>
          <cell r="E562">
            <v>4.3403586988837499E-2</v>
          </cell>
          <cell r="F562">
            <v>6.2652650029635493E-2</v>
          </cell>
          <cell r="H562">
            <v>1.9632406297220601E-4</v>
          </cell>
        </row>
        <row r="563">
          <cell r="A563" t="str">
            <v>T_B_u-HYBDSL-S2</v>
          </cell>
          <cell r="B563" t="str">
            <v>VAR_fout</v>
          </cell>
          <cell r="C563" t="str">
            <v>TPBSu</v>
          </cell>
          <cell r="E563">
            <v>6.8980281221761732E-5</v>
          </cell>
          <cell r="F563">
            <v>1.0108262460018009E-4</v>
          </cell>
          <cell r="H563">
            <v>3.9284131777849493E-7</v>
          </cell>
        </row>
        <row r="564">
          <cell r="A564" t="str">
            <v>T_B_u-HYBDSL-S2</v>
          </cell>
          <cell r="B564" t="str">
            <v>VAR_fin</v>
          </cell>
          <cell r="C564" t="str">
            <v>TDSL</v>
          </cell>
          <cell r="E564">
            <v>5.9213624814239481E-4</v>
          </cell>
          <cell r="F564">
            <v>8.5474283805778357E-4</v>
          </cell>
          <cell r="H564">
            <v>2.6783637513261335E-6</v>
          </cell>
        </row>
        <row r="565">
          <cell r="A565" t="str">
            <v>T_B_u-HYBDSL-S2</v>
          </cell>
          <cell r="B565" t="str">
            <v>VAR_ncap</v>
          </cell>
          <cell r="C565" t="str">
            <v>-</v>
          </cell>
          <cell r="E565">
            <v>1.35099156093616E-6</v>
          </cell>
          <cell r="F565">
            <v>6.2456826978331797E-7</v>
          </cell>
          <cell r="H565">
            <v>1.05167662973827E-8</v>
          </cell>
        </row>
        <row r="566">
          <cell r="A566" t="str">
            <v>T_B_u-HYBDSL-S2</v>
          </cell>
          <cell r="B566" t="str">
            <v>VAR_cap</v>
          </cell>
          <cell r="C566" t="str">
            <v>-</v>
          </cell>
          <cell r="E566">
            <v>1.35099156093616E-6</v>
          </cell>
          <cell r="F566">
            <v>1.9755598307194799E-6</v>
          </cell>
          <cell r="G566">
            <v>-1.5293388029201283E-9</v>
          </cell>
          <cell r="H566">
            <v>-8.6528156032455E-9</v>
          </cell>
          <cell r="I566">
            <v>5.2742139315850398E-9</v>
          </cell>
        </row>
        <row r="567">
          <cell r="A567" t="str">
            <v>T_B_u-HYBDSL-S3</v>
          </cell>
          <cell r="B567" t="str">
            <v>VAR_fout</v>
          </cell>
          <cell r="C567" t="str">
            <v>CO2_T</v>
          </cell>
          <cell r="E567">
            <v>5.5749844395428801E-2</v>
          </cell>
          <cell r="F567">
            <v>7.6675116088558204E-2</v>
          </cell>
          <cell r="H567">
            <v>1.9296809598688481E-3</v>
          </cell>
          <cell r="I567">
            <v>1.9248826116855799E-4</v>
          </cell>
        </row>
        <row r="568">
          <cell r="A568" t="str">
            <v>T_B_u-HYBDSL-S3</v>
          </cell>
          <cell r="B568" t="str">
            <v>VAR_fout</v>
          </cell>
          <cell r="C568" t="str">
            <v>TPBSu</v>
          </cell>
          <cell r="E568">
            <v>5.9503891491443142E-5</v>
          </cell>
          <cell r="F568">
            <v>8.2923411302231659E-5</v>
          </cell>
          <cell r="H568">
            <v>2.5596400389057753E-6</v>
          </cell>
          <cell r="I568">
            <v>2.5927352753769307E-7</v>
          </cell>
        </row>
        <row r="569">
          <cell r="A569" t="str">
            <v>T_B_u-HYBDSL-S3</v>
          </cell>
          <cell r="B569" t="str">
            <v>VAR_fin</v>
          </cell>
          <cell r="C569" t="str">
            <v>TDSL</v>
          </cell>
          <cell r="E569">
            <v>7.6057086487624583E-4</v>
          </cell>
          <cell r="F569">
            <v>1.0460452399530438E-3</v>
          </cell>
          <cell r="H569">
            <v>2.6325797542549109E-5</v>
          </cell>
          <cell r="I569">
            <v>2.6260335766515477E-6</v>
          </cell>
        </row>
        <row r="570">
          <cell r="A570" t="str">
            <v>T_B_u-HYBDSL-S3</v>
          </cell>
          <cell r="B570" t="str">
            <v>VAR_ncap</v>
          </cell>
          <cell r="C570" t="str">
            <v>-</v>
          </cell>
          <cell r="E570">
            <v>1.1497187139051301E-6</v>
          </cell>
          <cell r="F570">
            <v>4.2783827605797701E-7</v>
          </cell>
          <cell r="H570">
            <v>2.48448428761268E-8</v>
          </cell>
        </row>
        <row r="571">
          <cell r="A571" t="str">
            <v>T_B_u-HYBDSL-S3</v>
          </cell>
          <cell r="B571" t="str">
            <v>VAR_cap</v>
          </cell>
          <cell r="C571" t="str">
            <v>-</v>
          </cell>
          <cell r="E571">
            <v>1.1497187139051301E-6</v>
          </cell>
          <cell r="F571">
            <v>1.57755698996311E-6</v>
          </cell>
          <cell r="G571">
            <v>-3.7293170740899768E-9</v>
          </cell>
          <cell r="H571">
            <v>-1.0494064883588098E-8</v>
          </cell>
          <cell r="I571">
            <v>8.5098865570982395E-9</v>
          </cell>
        </row>
        <row r="572">
          <cell r="A572" t="str">
            <v>T_C-HY-GSL-S1</v>
          </cell>
          <cell r="B572" t="str">
            <v>VAR_fout</v>
          </cell>
          <cell r="C572" t="str">
            <v>CO2_T</v>
          </cell>
          <cell r="D572">
            <v>1.6537941040188135</v>
          </cell>
          <cell r="E572">
            <v>2.6550855100375488</v>
          </cell>
          <cell r="F572">
            <v>1.9030592520211826</v>
          </cell>
          <cell r="G572">
            <v>1.691341607385187</v>
          </cell>
          <cell r="H572">
            <v>0.238053380758035</v>
          </cell>
          <cell r="I572">
            <v>6.6539013348410808E-2</v>
          </cell>
        </row>
        <row r="573">
          <cell r="A573" t="str">
            <v>T_C-HY-GSL-S1</v>
          </cell>
          <cell r="B573" t="str">
            <v>VAR_fout</v>
          </cell>
          <cell r="C573" t="str">
            <v>TPCAR</v>
          </cell>
          <cell r="D573">
            <v>3.3620226289281997E-2</v>
          </cell>
          <cell r="E573">
            <v>5.1285820332814973E-2</v>
          </cell>
          <cell r="F573">
            <v>3.6518092562334584E-2</v>
          </cell>
          <cell r="G573">
            <v>3.1626823812245936E-2</v>
          </cell>
          <cell r="H573">
            <v>3.0026542237808905E-3</v>
          </cell>
          <cell r="I573">
            <v>8.4166545001816283E-4</v>
          </cell>
        </row>
        <row r="574">
          <cell r="A574" t="str">
            <v>T_C-HY-GSL-S1</v>
          </cell>
          <cell r="B574" t="str">
            <v>VAR_fin</v>
          </cell>
          <cell r="C574" t="str">
            <v>TGSL</v>
          </cell>
          <cell r="D574">
            <v>2.2409134200796928E-2</v>
          </cell>
          <cell r="E574">
            <v>3.597676842869299E-2</v>
          </cell>
          <cell r="F574">
            <v>2.5786710731994261E-2</v>
          </cell>
          <cell r="G574">
            <v>2.2917907959148841E-2</v>
          </cell>
          <cell r="H574">
            <v>3.2256555658270371E-3</v>
          </cell>
          <cell r="I574">
            <v>9.0161264699743619E-4</v>
          </cell>
        </row>
        <row r="575">
          <cell r="A575" t="str">
            <v>T_C-HY-GSL-S1</v>
          </cell>
          <cell r="B575" t="str">
            <v>VAR_ncap</v>
          </cell>
          <cell r="C575" t="str">
            <v>-</v>
          </cell>
          <cell r="E575">
            <v>6.3991927267733495E-5</v>
          </cell>
          <cell r="F575">
            <v>1.5808220905977601E-4</v>
          </cell>
          <cell r="G575">
            <v>1.14279659491972E-4</v>
          </cell>
          <cell r="H575">
            <v>5.1785012452880198E-5</v>
          </cell>
        </row>
        <row r="576">
          <cell r="A576" t="str">
            <v>T_C-HY-GSL-S1</v>
          </cell>
          <cell r="B576" t="str">
            <v>VAR_cap</v>
          </cell>
          <cell r="C576" t="str">
            <v>-</v>
          </cell>
          <cell r="D576">
            <v>4.5296366248694601E-3</v>
          </cell>
          <cell r="E576">
            <v>5.4838789739078565E-3</v>
          </cell>
          <cell r="F576">
            <v>5.5291625184923539E-3</v>
          </cell>
          <cell r="G576">
            <v>4.7502789622677751E-3</v>
          </cell>
          <cell r="H576">
            <v>4.4965158361248459E-4</v>
          </cell>
          <cell r="I576">
            <v>1.266707656670487E-4</v>
          </cell>
        </row>
        <row r="577">
          <cell r="A577" t="str">
            <v>T_B_u-HYBDSL-S4</v>
          </cell>
          <cell r="B577" t="str">
            <v>VAR_fout</v>
          </cell>
          <cell r="C577" t="str">
            <v>CO2_T</v>
          </cell>
          <cell r="E577">
            <v>1.4115505675475601E-3</v>
          </cell>
          <cell r="F577">
            <v>2.9249258953640703E-3</v>
          </cell>
          <cell r="H577">
            <v>5.66452333791394E-4</v>
          </cell>
        </row>
        <row r="578">
          <cell r="A578" t="str">
            <v>T_B_u-HYBDSL-S4</v>
          </cell>
          <cell r="B578" t="str">
            <v>VAR_fout</v>
          </cell>
          <cell r="C578" t="str">
            <v>TPBSu</v>
          </cell>
          <cell r="E578">
            <v>1.0158434492727182E-6</v>
          </cell>
          <cell r="F578">
            <v>2.1517101949175463E-6</v>
          </cell>
          <cell r="H578">
            <v>5.1526888603724845E-7</v>
          </cell>
        </row>
        <row r="579">
          <cell r="A579" t="str">
            <v>T_B_u-HYBDSL-S4</v>
          </cell>
          <cell r="B579" t="str">
            <v>VAR_fin</v>
          </cell>
          <cell r="C579" t="str">
            <v>TDSL</v>
          </cell>
          <cell r="E579">
            <v>1.9257170089325561E-5</v>
          </cell>
          <cell r="F579">
            <v>3.9903491069086864E-5</v>
          </cell>
          <cell r="H579">
            <v>7.7278626710967811E-6</v>
          </cell>
        </row>
        <row r="580">
          <cell r="A580" t="str">
            <v>T_B_u-HYBDSL-S4</v>
          </cell>
          <cell r="B580" t="str">
            <v>VAR_ncap</v>
          </cell>
          <cell r="C580" t="str">
            <v>-</v>
          </cell>
          <cell r="E580">
            <v>3.4844381980244002E-8</v>
          </cell>
          <cell r="F580">
            <v>2.76927902456646E-8</v>
          </cell>
          <cell r="H580">
            <v>1.08598666003769E-8</v>
          </cell>
        </row>
        <row r="581">
          <cell r="A581" t="str">
            <v>T_B_u-HYBDSL-S4</v>
          </cell>
          <cell r="B581" t="str">
            <v>VAR_cap</v>
          </cell>
          <cell r="C581" t="str">
            <v>-</v>
          </cell>
          <cell r="E581">
            <v>3.4844381980244002E-8</v>
          </cell>
          <cell r="F581">
            <v>6.2537172225908598E-8</v>
          </cell>
          <cell r="G581">
            <v>-3.4466757936173985E-9</v>
          </cell>
          <cell r="H581">
            <v>-9.1037499039455999E-9</v>
          </cell>
          <cell r="I581">
            <v>1.9057831803547299E-9</v>
          </cell>
        </row>
        <row r="582">
          <cell r="A582" t="str">
            <v>TFRLFDSLEXT</v>
          </cell>
          <cell r="B582" t="str">
            <v>VAR_fout</v>
          </cell>
          <cell r="C582" t="str">
            <v>CO2_T</v>
          </cell>
          <cell r="D582">
            <v>29.033376405840698</v>
          </cell>
          <cell r="E582">
            <v>20.643922531034001</v>
          </cell>
          <cell r="F582">
            <v>6.1079000857669999E-2</v>
          </cell>
          <cell r="G582">
            <v>6.4208021101135604E-3</v>
          </cell>
          <cell r="H582">
            <v>7.4711607654663198E-3</v>
          </cell>
        </row>
        <row r="583">
          <cell r="A583" t="str">
            <v>TFRLFDSLEXT</v>
          </cell>
          <cell r="B583" t="str">
            <v>VAR_fout</v>
          </cell>
          <cell r="C583" t="str">
            <v>TFRLF</v>
          </cell>
          <cell r="D583">
            <v>1.6053808970767727E-3</v>
          </cell>
          <cell r="E583">
            <v>1.141491723483724E-3</v>
          </cell>
          <cell r="F583">
            <v>3.377322011011895E-6</v>
          </cell>
          <cell r="G583">
            <v>3.5503390674922982E-7</v>
          </cell>
          <cell r="H583">
            <v>4.1311277766013617E-7</v>
          </cell>
        </row>
        <row r="584">
          <cell r="A584" t="str">
            <v>TFRLFDSLEXT</v>
          </cell>
          <cell r="B584" t="str">
            <v>VAR_fin</v>
          </cell>
          <cell r="C584" t="str">
            <v>TDSL</v>
          </cell>
          <cell r="D584">
            <v>0.3960897190428474</v>
          </cell>
          <cell r="E584">
            <v>0.2816360509008729</v>
          </cell>
          <cell r="F584">
            <v>8.3327422725334229E-4</v>
          </cell>
          <cell r="G584">
            <v>8.7596208869216322E-5</v>
          </cell>
          <cell r="H584">
            <v>1.0192579489039995E-4</v>
          </cell>
        </row>
        <row r="585">
          <cell r="A585" t="str">
            <v>TFRLFDSLEXT</v>
          </cell>
          <cell r="B585" t="str">
            <v>VAR_ncap</v>
          </cell>
          <cell r="C585" t="str">
            <v>-</v>
          </cell>
          <cell r="D585">
            <v>1.48216996378865E-4</v>
          </cell>
        </row>
        <row r="586">
          <cell r="A586" t="str">
            <v>TFRLFDSLEXT</v>
          </cell>
          <cell r="B586" t="str">
            <v>VAR_cap</v>
          </cell>
          <cell r="C586" t="str">
            <v>-</v>
          </cell>
          <cell r="D586">
            <v>1.48216996378865E-4</v>
          </cell>
          <cell r="E586">
            <v>1.48216996378865E-4</v>
          </cell>
          <cell r="F586">
            <v>5.1362198937900116E-7</v>
          </cell>
          <cell r="G586">
            <v>1.5108741302998592E-7</v>
          </cell>
          <cell r="H586">
            <v>1.5100671774999222E-7</v>
          </cell>
          <cell r="I586">
            <v>4.5509705614294317E-8</v>
          </cell>
        </row>
        <row r="587">
          <cell r="A587" t="str">
            <v>T_C-HY-GSL-S2</v>
          </cell>
          <cell r="B587" t="str">
            <v>VAR_fout</v>
          </cell>
          <cell r="C587" t="str">
            <v>CO2_T</v>
          </cell>
          <cell r="D587">
            <v>7.2309217288885481</v>
          </cell>
          <cell r="E587">
            <v>11.541062849499689</v>
          </cell>
          <cell r="F587">
            <v>11.168322613114391</v>
          </cell>
          <cell r="G587">
            <v>9.3173864285314796</v>
          </cell>
          <cell r="H587">
            <v>0.13070907358482328</v>
          </cell>
          <cell r="I587">
            <v>3.2864923731364799E-2</v>
          </cell>
        </row>
        <row r="588">
          <cell r="A588" t="str">
            <v>T_C-HY-GSL-S2</v>
          </cell>
          <cell r="B588" t="str">
            <v>VAR_fout</v>
          </cell>
          <cell r="C588" t="str">
            <v>TPCAR</v>
          </cell>
          <cell r="D588">
            <v>0.1960942182949699</v>
          </cell>
          <cell r="E588">
            <v>0.35770022163147613</v>
          </cell>
          <cell r="F588">
            <v>0.34523469045879823</v>
          </cell>
          <cell r="G588">
            <v>0.28404918688730019</v>
          </cell>
          <cell r="H588">
            <v>1.5146172429586582E-3</v>
          </cell>
          <cell r="I588">
            <v>3.5003745719594238E-4</v>
          </cell>
        </row>
        <row r="589">
          <cell r="A589" t="str">
            <v>T_C-HY-GSL-S2</v>
          </cell>
          <cell r="B589" t="str">
            <v>VAR_fin</v>
          </cell>
          <cell r="C589" t="str">
            <v>TGSL</v>
          </cell>
          <cell r="D589">
            <v>9.7979969226132183E-2</v>
          </cell>
          <cell r="E589">
            <v>0.15638296544037533</v>
          </cell>
          <cell r="F589">
            <v>0.15133228473054747</v>
          </cell>
          <cell r="G589">
            <v>0.1262518486250879</v>
          </cell>
          <cell r="H589">
            <v>1.771125658330937E-3</v>
          </cell>
          <cell r="I589">
            <v>4.4532416980169238E-4</v>
          </cell>
        </row>
        <row r="590">
          <cell r="A590" t="str">
            <v>T_C-HY-GSL-S2</v>
          </cell>
          <cell r="B590" t="str">
            <v>VAR_ncap</v>
          </cell>
          <cell r="C590" t="str">
            <v>-</v>
          </cell>
          <cell r="E590">
            <v>2.5236224350715499E-4</v>
          </cell>
          <cell r="F590">
            <v>2.4582847291894502E-4</v>
          </cell>
          <cell r="G590">
            <v>3.8799657721710902E-5</v>
          </cell>
          <cell r="H590">
            <v>3.4280557978712297E-5</v>
          </cell>
        </row>
        <row r="591">
          <cell r="A591" t="str">
            <v>T_C-HY-GSL-S2</v>
          </cell>
          <cell r="B591" t="str">
            <v>VAR_cap</v>
          </cell>
          <cell r="C591" t="str">
            <v>-</v>
          </cell>
          <cell r="D591">
            <v>1.4887851853060579E-2</v>
          </cell>
          <cell r="E591">
            <v>2.7140371431736626E-2</v>
          </cell>
          <cell r="F591">
            <v>2.6286126848601855E-2</v>
          </cell>
          <cell r="G591">
            <v>2.1553479752451414E-2</v>
          </cell>
          <cell r="H591">
            <v>1.2924813598016362E-4</v>
          </cell>
          <cell r="I591">
            <v>3.5191802820665126E-5</v>
          </cell>
        </row>
        <row r="592">
          <cell r="A592" t="str">
            <v>TPSHPNGAEXT</v>
          </cell>
          <cell r="B592" t="str">
            <v>VAR_fout</v>
          </cell>
          <cell r="C592" t="str">
            <v>TPSHP</v>
          </cell>
          <cell r="E592">
            <v>4.6648655217263499E-4</v>
          </cell>
          <cell r="F592">
            <v>3.3959525304484303E-2</v>
          </cell>
          <cell r="G592">
            <v>3.3957113622580998E-2</v>
          </cell>
          <cell r="H592">
            <v>9.1361452434684506E-5</v>
          </cell>
          <cell r="I592">
            <v>1.62394945373069E-5</v>
          </cell>
        </row>
        <row r="593">
          <cell r="A593" t="str">
            <v>TPSHPNGAEXT</v>
          </cell>
          <cell r="B593" t="str">
            <v>VAR_fout</v>
          </cell>
          <cell r="C593" t="str">
            <v>CO2_T</v>
          </cell>
          <cell r="E593">
            <v>2.7959624891024101E-2</v>
          </cell>
          <cell r="F593">
            <v>2.03541899454207</v>
          </cell>
          <cell r="G593">
            <v>2.0352744464922701</v>
          </cell>
          <cell r="H593">
            <v>5.4758962025288497E-3</v>
          </cell>
          <cell r="I593">
            <v>9.7334033225228195E-4</v>
          </cell>
        </row>
        <row r="594">
          <cell r="A594" t="str">
            <v>TPSHPNGAEXT</v>
          </cell>
          <cell r="B594" t="str">
            <v>VAR_fin</v>
          </cell>
          <cell r="C594" t="str">
            <v>TNGA</v>
          </cell>
          <cell r="E594">
            <v>4.9573802998269397E-4</v>
          </cell>
          <cell r="F594">
            <v>3.6088989264930128E-2</v>
          </cell>
          <cell r="G594">
            <v>3.6086426356245774E-2</v>
          </cell>
          <cell r="H594">
            <v>9.7090358200866342E-5</v>
          </cell>
          <cell r="I594">
            <v>1.7257807309437638E-5</v>
          </cell>
        </row>
        <row r="595">
          <cell r="A595" t="str">
            <v>TPSHPNGAEXT</v>
          </cell>
          <cell r="B595" t="str">
            <v>VAR_ncap</v>
          </cell>
          <cell r="C595" t="str">
            <v>-</v>
          </cell>
          <cell r="D595">
            <v>2.20528129500499E-5</v>
          </cell>
          <cell r="E595">
            <v>4.4973121329577398E-4</v>
          </cell>
          <cell r="F595">
            <v>3.34862850971656E-2</v>
          </cell>
          <cell r="G595">
            <v>1.4246662862705499E-5</v>
          </cell>
          <cell r="H595">
            <v>4.7166672897180199E-7</v>
          </cell>
          <cell r="I595">
            <v>2.1675246722777799E-7</v>
          </cell>
        </row>
        <row r="596">
          <cell r="A596" t="str">
            <v>TPSHPNGAEXT</v>
          </cell>
          <cell r="B596" t="str">
            <v>VAR_cap</v>
          </cell>
          <cell r="C596" t="str">
            <v>-</v>
          </cell>
          <cell r="D596">
            <v>2.20528129500499E-5</v>
          </cell>
          <cell r="E596">
            <v>4.7178402624582398E-4</v>
          </cell>
          <cell r="F596">
            <v>3.3955449141436736E-2</v>
          </cell>
          <cell r="G596">
            <v>3.3955616065403336E-2</v>
          </cell>
          <cell r="H596">
            <v>-8.3151093070027438E-7</v>
          </cell>
          <cell r="I596">
            <v>-3.4616077422389323E-8</v>
          </cell>
        </row>
        <row r="597">
          <cell r="A597" t="str">
            <v>T_C-HY-DSL-S1</v>
          </cell>
          <cell r="B597" t="str">
            <v>VAR_fout</v>
          </cell>
          <cell r="C597" t="str">
            <v>CO2_T</v>
          </cell>
          <cell r="D597">
            <v>2.50556575786837E-3</v>
          </cell>
          <cell r="E597">
            <v>4.451004802127962E-2</v>
          </cell>
          <cell r="F597">
            <v>0.24650918896449817</v>
          </cell>
          <cell r="G597">
            <v>0.23925984249070317</v>
          </cell>
          <cell r="H597">
            <v>0.10028096849678161</v>
          </cell>
          <cell r="I597">
            <v>2.8623812122515101E-2</v>
          </cell>
        </row>
        <row r="598">
          <cell r="A598" t="str">
            <v>T_C-HY-DSL-S1</v>
          </cell>
          <cell r="B598" t="str">
            <v>VAR_fout</v>
          </cell>
          <cell r="C598" t="str">
            <v>TPCAR</v>
          </cell>
          <cell r="D598">
            <v>1.429646344195477E-5</v>
          </cell>
          <cell r="E598">
            <v>9.9201810436186496E-4</v>
          </cell>
          <cell r="F598">
            <v>4.7728571696319987E-3</v>
          </cell>
          <cell r="G598">
            <v>4.4573918173161399E-3</v>
          </cell>
          <cell r="H598">
            <v>1.394344698254082E-3</v>
          </cell>
          <cell r="I598">
            <v>3.7059086611820332E-4</v>
          </cell>
        </row>
        <row r="599">
          <cell r="A599" t="str">
            <v>T_C-HY-DSL-S1</v>
          </cell>
          <cell r="B599" t="str">
            <v>VAR_fin</v>
          </cell>
          <cell r="C599" t="str">
            <v>TDSL</v>
          </cell>
          <cell r="D599">
            <v>3.4182343217849451E-5</v>
          </cell>
          <cell r="E599">
            <v>6.0723121447857733E-4</v>
          </cell>
          <cell r="F599">
            <v>3.363017584781693E-3</v>
          </cell>
          <cell r="G599">
            <v>3.2641179057394708E-3</v>
          </cell>
          <cell r="H599">
            <v>1.3680896111429922E-3</v>
          </cell>
          <cell r="I599">
            <v>3.90502211766918E-4</v>
          </cell>
        </row>
        <row r="600">
          <cell r="A600" t="str">
            <v>T_C-HY-DSL-S1</v>
          </cell>
          <cell r="B600" t="str">
            <v>VAR_ncap</v>
          </cell>
          <cell r="C600" t="str">
            <v>-</v>
          </cell>
          <cell r="E600">
            <v>1.0796282915999801E-4</v>
          </cell>
          <cell r="F600">
            <v>6.2390532817642897E-4</v>
          </cell>
          <cell r="G600">
            <v>4.3172539956003499E-5</v>
          </cell>
          <cell r="H600">
            <v>6.2222187201505506E-5</v>
          </cell>
        </row>
        <row r="601">
          <cell r="A601" t="str">
            <v>T_C-HY-DSL-S1</v>
          </cell>
          <cell r="B601" t="str">
            <v>VAR_cap</v>
          </cell>
          <cell r="C601" t="str">
            <v>-</v>
          </cell>
          <cell r="D601">
            <v>1.5999999999999999E-6</v>
          </cell>
          <cell r="E601">
            <v>1.08125503721859E-4</v>
          </cell>
          <cell r="F601">
            <v>7.1760227055020422E-4</v>
          </cell>
          <cell r="G601">
            <v>6.6368035149908964E-4</v>
          </cell>
          <cell r="H601">
            <v>2.0731234626985431E-4</v>
          </cell>
          <cell r="I601">
            <v>5.4620257328595676E-5</v>
          </cell>
        </row>
        <row r="602">
          <cell r="A602" t="str">
            <v>T_C-HY-GSL-S3</v>
          </cell>
          <cell r="B602" t="str">
            <v>VAR_fout</v>
          </cell>
          <cell r="C602" t="str">
            <v>CO2_T</v>
          </cell>
          <cell r="D602">
            <v>5.6451625937089531</v>
          </cell>
          <cell r="E602">
            <v>112.21372237730455</v>
          </cell>
          <cell r="F602">
            <v>105.91792617372239</v>
          </cell>
          <cell r="G602">
            <v>85.309936272201696</v>
          </cell>
          <cell r="H602">
            <v>6.4417231969808725E-2</v>
          </cell>
          <cell r="I602">
            <v>1.7891336819321639E-2</v>
          </cell>
        </row>
        <row r="603">
          <cell r="A603" t="str">
            <v>T_C-HY-GSL-S3</v>
          </cell>
          <cell r="B603" t="str">
            <v>VAR_fout</v>
          </cell>
          <cell r="C603" t="str">
            <v>TPCAR</v>
          </cell>
          <cell r="D603">
            <v>0.1893762946559126</v>
          </cell>
          <cell r="E603">
            <v>3.8750096140767587</v>
          </cell>
          <cell r="F603">
            <v>3.6581105918908294</v>
          </cell>
          <cell r="G603">
            <v>2.94738591798628</v>
          </cell>
          <cell r="H603">
            <v>6.3233594300878546E-4</v>
          </cell>
          <cell r="I603">
            <v>1.7207051212277561E-4</v>
          </cell>
        </row>
        <row r="604">
          <cell r="A604" t="str">
            <v>T_C-HY-GSL-S3</v>
          </cell>
          <cell r="B604" t="str">
            <v>VAR_fin</v>
          </cell>
          <cell r="C604" t="str">
            <v>TGSL</v>
          </cell>
          <cell r="D604">
            <v>7.6492718071936958E-2</v>
          </cell>
          <cell r="E604">
            <v>1.5205111433239145</v>
          </cell>
          <cell r="F604">
            <v>1.435202251676456</v>
          </cell>
          <cell r="G604">
            <v>1.155961196100292</v>
          </cell>
          <cell r="H604">
            <v>8.7286222181312664E-4</v>
          </cell>
          <cell r="I604">
            <v>2.4243003820219027E-4</v>
          </cell>
        </row>
        <row r="605">
          <cell r="A605" t="str">
            <v>T_C-HY-GSL-S3</v>
          </cell>
          <cell r="B605" t="str">
            <v>VAR_ncap</v>
          </cell>
          <cell r="C605" t="str">
            <v>-</v>
          </cell>
          <cell r="E605">
            <v>0.24498462207084801</v>
          </cell>
          <cell r="F605">
            <v>3.4748111957218398E-5</v>
          </cell>
          <cell r="G605">
            <v>1.6152349061546398E-5</v>
          </cell>
          <cell r="H605">
            <v>1.72131330442708E-5</v>
          </cell>
        </row>
        <row r="606">
          <cell r="A606" t="str">
            <v>T_C-HY-GSL-S3</v>
          </cell>
          <cell r="B606" t="str">
            <v>VAR_cap</v>
          </cell>
          <cell r="C606" t="str">
            <v>-</v>
          </cell>
          <cell r="D606">
            <v>1.3028958180920369E-2</v>
          </cell>
          <cell r="E606">
            <v>0.26643803752489792</v>
          </cell>
          <cell r="F606">
            <v>0.25155551624376971</v>
          </cell>
          <cell r="G606">
            <v>0.20266147825435124</v>
          </cell>
          <cell r="H606">
            <v>4.7633034651764676E-5</v>
          </cell>
          <cell r="I606">
            <v>1.5151302690367702E-5</v>
          </cell>
        </row>
        <row r="607">
          <cell r="A607" t="str">
            <v>T_C-HY-DSL-S2</v>
          </cell>
          <cell r="B607" t="str">
            <v>VAR_fout</v>
          </cell>
          <cell r="C607" t="str">
            <v>CO2_T</v>
          </cell>
          <cell r="D607">
            <v>0.21322174864827942</v>
          </cell>
          <cell r="E607">
            <v>64.563480420096653</v>
          </cell>
          <cell r="F607">
            <v>67.805477377321893</v>
          </cell>
          <cell r="G607">
            <v>54.991039712559747</v>
          </cell>
          <cell r="H607">
            <v>0.5005615570244859</v>
          </cell>
          <cell r="I607">
            <v>3.1034017962583503E-2</v>
          </cell>
        </row>
        <row r="608">
          <cell r="A608" t="str">
            <v>T_C-HY-DSL-S2</v>
          </cell>
          <cell r="B608" t="str">
            <v>VAR_fout</v>
          </cell>
          <cell r="C608" t="str">
            <v>TPCAR</v>
          </cell>
          <cell r="D608">
            <v>3.4302939364248969E-3</v>
          </cell>
          <cell r="E608">
            <v>2.3630417071116736</v>
          </cell>
          <cell r="F608">
            <v>2.4126914859484252</v>
          </cell>
          <cell r="G608">
            <v>1.9514065688721991</v>
          </cell>
          <cell r="H608">
            <v>1.2103289586246511E-2</v>
          </cell>
          <cell r="I608">
            <v>3.3488528728560176E-4</v>
          </cell>
        </row>
        <row r="609">
          <cell r="A609" t="str">
            <v>T_C-HY-DSL-S2</v>
          </cell>
          <cell r="B609" t="str">
            <v>VAR_fin</v>
          </cell>
          <cell r="C609" t="str">
            <v>TDSL</v>
          </cell>
          <cell r="D609">
            <v>2.9088915231688835E-3</v>
          </cell>
          <cell r="E609">
            <v>0.88081146548562972</v>
          </cell>
          <cell r="F609">
            <v>0.92504061906305524</v>
          </cell>
          <cell r="G609">
            <v>0.75021882281800467</v>
          </cell>
          <cell r="H609">
            <v>6.8289434791880821E-3</v>
          </cell>
          <cell r="I609">
            <v>4.2338360112665003E-4</v>
          </cell>
        </row>
        <row r="610">
          <cell r="A610" t="str">
            <v>T_C-HY-DSL-S2</v>
          </cell>
          <cell r="B610" t="str">
            <v>VAR_ncap</v>
          </cell>
          <cell r="C610" t="str">
            <v>-</v>
          </cell>
          <cell r="E610">
            <v>0.18118299250195799</v>
          </cell>
          <cell r="F610">
            <v>1.4218791662215799E-2</v>
          </cell>
          <cell r="G610">
            <v>2.2033546826575198E-5</v>
          </cell>
          <cell r="H610">
            <v>3.6973605549822498E-5</v>
          </cell>
        </row>
        <row r="611">
          <cell r="A611" t="str">
            <v>T_C-HY-DSL-S2</v>
          </cell>
          <cell r="B611" t="str">
            <v>VAR_cap</v>
          </cell>
          <cell r="C611" t="str">
            <v>-</v>
          </cell>
          <cell r="D611">
            <v>2.5986386435055E-4</v>
          </cell>
          <cell r="E611">
            <v>0.17929152772262941</v>
          </cell>
          <cell r="F611">
            <v>0.18306147274152546</v>
          </cell>
          <cell r="G611">
            <v>0.148060966794826</v>
          </cell>
          <cell r="H611">
            <v>1.2677496774563875E-3</v>
          </cell>
          <cell r="I611">
            <v>2.9509332648806387E-5</v>
          </cell>
        </row>
        <row r="612">
          <cell r="A612" t="str">
            <v>D-T-ELC-Bus_c_S1</v>
          </cell>
          <cell r="B612" t="str">
            <v>VAR_fout</v>
          </cell>
          <cell r="C612" t="str">
            <v>T-ELC-Bus_c_BatSTGin_S1</v>
          </cell>
          <cell r="D612">
            <v>1.6707197010960221E-4</v>
          </cell>
          <cell r="E612">
            <v>7.8187507318987529E-4</v>
          </cell>
          <cell r="F612">
            <v>1.3068655531810872E-3</v>
          </cell>
          <cell r="G612">
            <v>0.14730506274534208</v>
          </cell>
          <cell r="H612">
            <v>0.13992284198228766</v>
          </cell>
          <cell r="I612">
            <v>0.12001677743995766</v>
          </cell>
        </row>
        <row r="613">
          <cell r="A613" t="str">
            <v>D-T-ELC-Bus_c_S1</v>
          </cell>
          <cell r="B613" t="str">
            <v>VAR_fin</v>
          </cell>
          <cell r="C613" t="str">
            <v>TELC</v>
          </cell>
          <cell r="D613">
            <v>1.6707197010960221E-4</v>
          </cell>
          <cell r="E613">
            <v>7.8187507318987529E-4</v>
          </cell>
          <cell r="F613">
            <v>1.3068655531810872E-3</v>
          </cell>
          <cell r="G613">
            <v>0.14730506274534208</v>
          </cell>
          <cell r="H613">
            <v>0.13992284198228766</v>
          </cell>
          <cell r="I613">
            <v>0.12001677743995766</v>
          </cell>
        </row>
        <row r="614">
          <cell r="A614" t="str">
            <v>D-T-ELC-Bus_c_S1</v>
          </cell>
          <cell r="B614" t="str">
            <v>VAR_ncap</v>
          </cell>
          <cell r="C614" t="str">
            <v>-</v>
          </cell>
          <cell r="D614">
            <v>2.7549563815136898E-5</v>
          </cell>
          <cell r="E614">
            <v>1.08511845521456E-4</v>
          </cell>
          <cell r="F614">
            <v>1.21998481490933E-4</v>
          </cell>
          <cell r="G614">
            <v>1.8663384068103701E-2</v>
          </cell>
          <cell r="H614">
            <v>1.4226791588403301E-2</v>
          </cell>
          <cell r="I614">
            <v>8.0028883343825803E-3</v>
          </cell>
        </row>
        <row r="615">
          <cell r="A615" t="str">
            <v>D-T-ELC-Bus_c_S1</v>
          </cell>
          <cell r="B615" t="str">
            <v>VAR_cap</v>
          </cell>
          <cell r="C615" t="str">
            <v>-</v>
          </cell>
          <cell r="D615">
            <v>2.7549563815136898E-5</v>
          </cell>
          <cell r="E615">
            <v>1.3606140933659301E-4</v>
          </cell>
          <cell r="F615">
            <v>2.5805989082752599E-4</v>
          </cell>
          <cell r="G615">
            <v>1.8899674998116199E-2</v>
          </cell>
          <cell r="H615">
            <v>1.7538763978895599E-2</v>
          </cell>
          <cell r="I615">
            <v>1.51388012771894E-2</v>
          </cell>
        </row>
        <row r="616">
          <cell r="A616" t="str">
            <v>T_C-HY-GSL-S4</v>
          </cell>
          <cell r="B616" t="str">
            <v>VAR_fout</v>
          </cell>
          <cell r="C616" t="str">
            <v>CO2_T</v>
          </cell>
          <cell r="D616">
            <v>4.2990663905660407</v>
          </cell>
          <cell r="E616">
            <v>9.3140564468008407</v>
          </cell>
          <cell r="F616">
            <v>8.929031911969938</v>
          </cell>
          <cell r="G616">
            <v>7.6197360112074941</v>
          </cell>
          <cell r="H616">
            <v>7.7452788411725287E-2</v>
          </cell>
          <cell r="I616">
            <v>2.210704321584956E-2</v>
          </cell>
        </row>
        <row r="617">
          <cell r="A617" t="str">
            <v>T_C-HY-GSL-S4</v>
          </cell>
          <cell r="B617" t="str">
            <v>VAR_fout</v>
          </cell>
          <cell r="C617" t="str">
            <v>TPCAR</v>
          </cell>
          <cell r="D617">
            <v>7.1535963390433041E-2</v>
          </cell>
          <cell r="E617">
            <v>0.1789274347642362</v>
          </cell>
          <cell r="F617">
            <v>0.17112127447368325</v>
          </cell>
          <cell r="G617">
            <v>0.14468481056675822</v>
          </cell>
          <cell r="H617">
            <v>7.3918162509761429E-4</v>
          </cell>
          <cell r="I617">
            <v>2.0957604888417094E-4</v>
          </cell>
        </row>
        <row r="618">
          <cell r="A618" t="str">
            <v>T_C-HY-GSL-S4</v>
          </cell>
          <cell r="B618" t="str">
            <v>VAR_fin</v>
          </cell>
          <cell r="C618" t="str">
            <v>TGSL</v>
          </cell>
          <cell r="D618">
            <v>5.8252932121490984E-2</v>
          </cell>
          <cell r="E618">
            <v>0.12620672692142038</v>
          </cell>
          <cell r="F618">
            <v>0.12098959230311566</v>
          </cell>
          <cell r="G618">
            <v>0.10324845543641605</v>
          </cell>
          <cell r="H618">
            <v>1.0494957779366566E-3</v>
          </cell>
          <cell r="I618">
            <v>2.9955343110907355E-4</v>
          </cell>
        </row>
        <row r="619">
          <cell r="A619" t="str">
            <v>T_C-HY-GSL-S4</v>
          </cell>
          <cell r="B619" t="str">
            <v>VAR_ncap</v>
          </cell>
          <cell r="C619" t="str">
            <v>-</v>
          </cell>
          <cell r="E619">
            <v>3.1998561657560801E-4</v>
          </cell>
          <cell r="F619">
            <v>3.6789639592406601E-5</v>
          </cell>
          <cell r="G619">
            <v>1.9792265859552898E-5</v>
          </cell>
          <cell r="H619">
            <v>2.5372252280572E-5</v>
          </cell>
        </row>
        <row r="620">
          <cell r="A620" t="str">
            <v>T_C-HY-GSL-S4</v>
          </cell>
          <cell r="B620" t="str">
            <v>VAR_cap</v>
          </cell>
          <cell r="C620" t="str">
            <v>-</v>
          </cell>
          <cell r="D620">
            <v>8.0185234401396535E-3</v>
          </cell>
          <cell r="E620">
            <v>1.4093580880923837E-2</v>
          </cell>
          <cell r="F620">
            <v>1.3534090098985496E-2</v>
          </cell>
          <cell r="G620">
            <v>1.140312614557633E-2</v>
          </cell>
          <cell r="H620">
            <v>6.5145315535325272E-5</v>
          </cell>
          <cell r="I620">
            <v>2.1657803362302249E-5</v>
          </cell>
        </row>
        <row r="621">
          <cell r="A621" t="str">
            <v>T_C-HY-DSL-S3</v>
          </cell>
          <cell r="B621" t="str">
            <v>VAR_fout</v>
          </cell>
          <cell r="C621" t="str">
            <v>CO2_T</v>
          </cell>
          <cell r="D621">
            <v>2.2199158712498495</v>
          </cell>
          <cell r="E621">
            <v>3.3715333016261875</v>
          </cell>
          <cell r="F621">
            <v>3.2392028660297636</v>
          </cell>
          <cell r="G621">
            <v>2.4421704762799026</v>
          </cell>
          <cell r="H621">
            <v>4.7975889748591918E-2</v>
          </cell>
          <cell r="I621">
            <v>1.781361506937763E-2</v>
          </cell>
        </row>
        <row r="622">
          <cell r="A622" t="str">
            <v>T_C-HY-DSL-S3</v>
          </cell>
          <cell r="B622" t="str">
            <v>VAR_fout</v>
          </cell>
          <cell r="C622" t="str">
            <v>TPCAR</v>
          </cell>
          <cell r="D622">
            <v>2.6995876944799838E-2</v>
          </cell>
          <cell r="E622">
            <v>5.4962730390467819E-2</v>
          </cell>
          <cell r="F622">
            <v>5.2608910701806587E-2</v>
          </cell>
          <cell r="G622">
            <v>4.201862845165609E-2</v>
          </cell>
          <cell r="H622">
            <v>4.7264527957704169E-4</v>
          </cell>
          <cell r="I622">
            <v>1.7292893660313501E-4</v>
          </cell>
        </row>
        <row r="623">
          <cell r="A623" t="str">
            <v>T_C-HY-DSL-S3</v>
          </cell>
          <cell r="B623" t="str">
            <v>VAR_fin</v>
          </cell>
          <cell r="C623" t="str">
            <v>TDSL</v>
          </cell>
          <cell r="D623">
            <v>3.0285346128920167E-2</v>
          </cell>
          <cell r="E623">
            <v>4.5996361550152617E-2</v>
          </cell>
          <cell r="F623">
            <v>4.4191035007227264E-2</v>
          </cell>
          <cell r="G623">
            <v>3.3317468980626298E-2</v>
          </cell>
          <cell r="H623">
            <v>6.5451418483754309E-4</v>
          </cell>
          <cell r="I623">
            <v>2.4302339794512478E-4</v>
          </cell>
        </row>
        <row r="624">
          <cell r="A624" t="str">
            <v>T_C-HY-DSL-S3</v>
          </cell>
          <cell r="B624" t="str">
            <v>VAR_ncap</v>
          </cell>
          <cell r="C624" t="str">
            <v>-</v>
          </cell>
          <cell r="E624">
            <v>1.10664150255092E-4</v>
          </cell>
          <cell r="F624">
            <v>3.1497150636718397E-5</v>
          </cell>
          <cell r="G624">
            <v>1.19078454902522E-5</v>
          </cell>
          <cell r="H624">
            <v>1.6867448859803001E-5</v>
          </cell>
        </row>
        <row r="625">
          <cell r="A625" t="str">
            <v>T_C-HY-DSL-S3</v>
          </cell>
          <cell r="B625" t="str">
            <v>VAR_cap</v>
          </cell>
          <cell r="C625" t="str">
            <v>-</v>
          </cell>
          <cell r="D625">
            <v>1.8565014936463601E-3</v>
          </cell>
          <cell r="E625">
            <v>3.7835126678867899E-3</v>
          </cell>
          <cell r="F625">
            <v>3.6319933437865899E-3</v>
          </cell>
          <cell r="G625">
            <v>2.8978666540426241E-3</v>
          </cell>
          <cell r="H625">
            <v>4.0152996426148899E-5</v>
          </cell>
          <cell r="I625">
            <v>1.3446124501539828E-5</v>
          </cell>
        </row>
        <row r="626">
          <cell r="A626" t="str">
            <v>D-T-ELC-Bus_c_S2</v>
          </cell>
          <cell r="B626" t="str">
            <v>VAR_fout</v>
          </cell>
          <cell r="C626" t="str">
            <v>T-ELC-Bus_c_BatSTGin_S2</v>
          </cell>
          <cell r="D626">
            <v>4.3029603182979682E-4</v>
          </cell>
          <cell r="E626">
            <v>4.6145978918317915E-4</v>
          </cell>
          <cell r="F626">
            <v>7.0935438771993053E-4</v>
          </cell>
          <cell r="G626">
            <v>0.17956245364131859</v>
          </cell>
          <cell r="H626">
            <v>0.16652483461940923</v>
          </cell>
          <cell r="I626">
            <v>0.14936284459554564</v>
          </cell>
        </row>
        <row r="627">
          <cell r="A627" t="str">
            <v>D-T-ELC-Bus_c_S2</v>
          </cell>
          <cell r="B627" t="str">
            <v>VAR_fin</v>
          </cell>
          <cell r="C627" t="str">
            <v>TELC</v>
          </cell>
          <cell r="D627">
            <v>4.3029603182979682E-4</v>
          </cell>
          <cell r="E627">
            <v>4.6145978918317915E-4</v>
          </cell>
          <cell r="F627">
            <v>7.0935438771993053E-4</v>
          </cell>
          <cell r="G627">
            <v>0.17956245364131859</v>
          </cell>
          <cell r="H627">
            <v>0.16652483461940923</v>
          </cell>
          <cell r="I627">
            <v>0.14936284459554564</v>
          </cell>
        </row>
        <row r="628">
          <cell r="A628" t="str">
            <v>D-T-ELC-Bus_c_S2</v>
          </cell>
          <cell r="B628" t="str">
            <v>VAR_ncap</v>
          </cell>
          <cell r="C628" t="str">
            <v>-</v>
          </cell>
          <cell r="D628">
            <v>5.6676337249536E-5</v>
          </cell>
          <cell r="E628">
            <v>1.2080235974732099E-5</v>
          </cell>
          <cell r="F628">
            <v>2.6689068902633698E-5</v>
          </cell>
          <cell r="G628">
            <v>2.2441240054992099E-2</v>
          </cell>
          <cell r="H628">
            <v>1.690687583735E-2</v>
          </cell>
          <cell r="I628">
            <v>1.03884099707402E-2</v>
          </cell>
        </row>
        <row r="629">
          <cell r="A629" t="str">
            <v>D-T-ELC-Bus_c_S2</v>
          </cell>
          <cell r="B629" t="str">
            <v>VAR_cap</v>
          </cell>
          <cell r="C629" t="str">
            <v>-</v>
          </cell>
          <cell r="D629">
            <v>5.6676337249536E-5</v>
          </cell>
          <cell r="E629">
            <v>6.8756573224267996E-5</v>
          </cell>
          <cell r="F629">
            <v>9.5445642126901705E-5</v>
          </cell>
          <cell r="G629">
            <v>2.2519878675930902E-2</v>
          </cell>
          <cell r="H629">
            <v>2.08919413120289E-2</v>
          </cell>
          <cell r="I629">
            <v>1.88690928670983E-2</v>
          </cell>
        </row>
        <row r="630">
          <cell r="A630" t="str">
            <v>T_C-HY-DSL-S4</v>
          </cell>
          <cell r="B630" t="str">
            <v>VAR_fout</v>
          </cell>
          <cell r="C630" t="str">
            <v>CO2_T</v>
          </cell>
          <cell r="D630">
            <v>2.6134774205732878</v>
          </cell>
          <cell r="E630">
            <v>22.04891899055615</v>
          </cell>
          <cell r="F630">
            <v>20.831513235270876</v>
          </cell>
          <cell r="G630">
            <v>16.825774933450674</v>
          </cell>
          <cell r="H630">
            <v>5.7924434249607179E-2</v>
          </cell>
          <cell r="I630">
            <v>2.3029816147454189E-2</v>
          </cell>
        </row>
        <row r="631">
          <cell r="A631" t="str">
            <v>T_C-HY-DSL-S4</v>
          </cell>
          <cell r="B631" t="str">
            <v>VAR_fout</v>
          </cell>
          <cell r="C631" t="str">
            <v>TPCAR</v>
          </cell>
          <cell r="D631">
            <v>4.7905312723405778E-2</v>
          </cell>
          <cell r="E631">
            <v>0.49581622275451992</v>
          </cell>
          <cell r="F631">
            <v>0.46891159832049673</v>
          </cell>
          <cell r="G631">
            <v>0.38049759515806819</v>
          </cell>
          <cell r="H631">
            <v>5.6379279635716741E-4</v>
          </cell>
          <cell r="I631">
            <v>2.2048210839244645E-4</v>
          </cell>
        </row>
        <row r="632">
          <cell r="A632" t="str">
            <v>T_C-HY-DSL-S4</v>
          </cell>
          <cell r="B632" t="str">
            <v>VAR_fin</v>
          </cell>
          <cell r="C632" t="str">
            <v>TDSL</v>
          </cell>
          <cell r="D632">
            <v>3.5654535069212699E-2</v>
          </cell>
          <cell r="E632">
            <v>0.3008038061467419</v>
          </cell>
          <cell r="F632">
            <v>0.28419526923971111</v>
          </cell>
          <cell r="G632">
            <v>0.22954672487654407</v>
          </cell>
          <cell r="H632">
            <v>7.9023784788004423E-4</v>
          </cell>
          <cell r="I632">
            <v>3.1418575917399979E-4</v>
          </cell>
        </row>
        <row r="633">
          <cell r="A633" t="str">
            <v>T_C-HY-DSL-S4</v>
          </cell>
          <cell r="B633" t="str">
            <v>VAR_ncap</v>
          </cell>
          <cell r="C633" t="str">
            <v>-</v>
          </cell>
          <cell r="E633">
            <v>3.0684185525601201E-2</v>
          </cell>
          <cell r="F633">
            <v>4.1615471886592702E-5</v>
          </cell>
          <cell r="G633">
            <v>1.43944630670176E-5</v>
          </cell>
          <cell r="H633">
            <v>2.61864402854132E-5</v>
          </cell>
        </row>
        <row r="634">
          <cell r="A634" t="str">
            <v>T_C-HY-DSL-S4</v>
          </cell>
          <cell r="B634" t="str">
            <v>VAR_cap</v>
          </cell>
          <cell r="C634" t="str">
            <v>-</v>
          </cell>
          <cell r="D634">
            <v>3.7730346420031002E-3</v>
          </cell>
          <cell r="E634">
            <v>3.9045524869292025E-2</v>
          </cell>
          <cell r="F634">
            <v>3.6945481713963051E-2</v>
          </cell>
          <cell r="G634">
            <v>2.9972375074894381E-2</v>
          </cell>
          <cell r="H634">
            <v>5.6725850063776358E-5</v>
          </cell>
          <cell r="I634">
            <v>1.9869031833716024E-5</v>
          </cell>
        </row>
        <row r="635">
          <cell r="A635" t="str">
            <v>D-T-ELC-Bus_c_S3</v>
          </cell>
          <cell r="B635" t="str">
            <v>VAR_fout</v>
          </cell>
          <cell r="C635" t="str">
            <v>T-ELC-Bus_c_BatSTGin_S3</v>
          </cell>
          <cell r="D635">
            <v>1.7117145530061347E-4</v>
          </cell>
          <cell r="E635">
            <v>2.8556583274731137E-4</v>
          </cell>
          <cell r="F635">
            <v>4.0676443917113408E-4</v>
          </cell>
          <cell r="G635">
            <v>4.3411173168622426E-2</v>
          </cell>
          <cell r="H635">
            <v>4.2536465078228738E-2</v>
          </cell>
          <cell r="I635">
            <v>3.7556125821984851E-2</v>
          </cell>
        </row>
        <row r="636">
          <cell r="A636" t="str">
            <v>D-T-ELC-Bus_c_S3</v>
          </cell>
          <cell r="B636" t="str">
            <v>VAR_fin</v>
          </cell>
          <cell r="C636" t="str">
            <v>TELC</v>
          </cell>
          <cell r="D636">
            <v>1.7117145530061347E-4</v>
          </cell>
          <cell r="E636">
            <v>2.8556583274731137E-4</v>
          </cell>
          <cell r="F636">
            <v>4.0676443917113408E-4</v>
          </cell>
          <cell r="G636">
            <v>4.3411173168622426E-2</v>
          </cell>
          <cell r="H636">
            <v>4.2536465078228738E-2</v>
          </cell>
          <cell r="I636">
            <v>3.7556125821984851E-2</v>
          </cell>
        </row>
        <row r="637">
          <cell r="A637" t="str">
            <v>D-T-ELC-Bus_c_S3</v>
          </cell>
          <cell r="B637" t="str">
            <v>VAR_ncap</v>
          </cell>
          <cell r="C637" t="str">
            <v>-</v>
          </cell>
          <cell r="D637">
            <v>2.4742835215974701E-5</v>
          </cell>
          <cell r="E637">
            <v>9.1125042935261004E-6</v>
          </cell>
          <cell r="F637">
            <v>1.3340512551383E-5</v>
          </cell>
          <cell r="G637">
            <v>4.5947180975564796E-3</v>
          </cell>
          <cell r="H637">
            <v>4.1324186306318702E-3</v>
          </cell>
          <cell r="I637">
            <v>3.2746996372751899E-3</v>
          </cell>
        </row>
        <row r="638">
          <cell r="A638" t="str">
            <v>D-T-ELC-Bus_c_S3</v>
          </cell>
          <cell r="B638" t="str">
            <v>VAR_cap</v>
          </cell>
          <cell r="C638" t="str">
            <v>-</v>
          </cell>
          <cell r="D638">
            <v>2.4742835215974701E-5</v>
          </cell>
          <cell r="E638">
            <v>3.3855339509500802E-5</v>
          </cell>
          <cell r="F638">
            <v>4.7195852060883802E-5</v>
          </cell>
          <cell r="G638">
            <v>4.6245873029106899E-3</v>
          </cell>
          <cell r="H638">
            <v>5.2554402859189501E-3</v>
          </cell>
          <cell r="I638">
            <v>4.6901408187087698E-3</v>
          </cell>
        </row>
        <row r="639">
          <cell r="A639" t="str">
            <v>D-T-ELC-Bus_c_S4</v>
          </cell>
          <cell r="B639" t="str">
            <v>VAR_fout</v>
          </cell>
          <cell r="C639" t="str">
            <v>T-ELC-Bus_c_BatSTGin_S4</v>
          </cell>
          <cell r="D639">
            <v>1.354983217456971E-6</v>
          </cell>
          <cell r="E639">
            <v>5.1114784830492573E-5</v>
          </cell>
          <cell r="F639">
            <v>1.0007413891172101E-4</v>
          </cell>
          <cell r="G639">
            <v>6.805752171117692E-5</v>
          </cell>
          <cell r="H639">
            <v>4.8369142902527252E-4</v>
          </cell>
          <cell r="I639">
            <v>3.1131032021465771E-4</v>
          </cell>
        </row>
        <row r="640">
          <cell r="A640" t="str">
            <v>D-T-ELC-Bus_c_S4</v>
          </cell>
          <cell r="B640" t="str">
            <v>VAR_fin</v>
          </cell>
          <cell r="C640" t="str">
            <v>TELC</v>
          </cell>
          <cell r="D640">
            <v>1.354983217456971E-6</v>
          </cell>
          <cell r="E640">
            <v>5.1114784830492573E-5</v>
          </cell>
          <cell r="F640">
            <v>1.0007413891172101E-4</v>
          </cell>
          <cell r="G640">
            <v>6.805752171117692E-5</v>
          </cell>
          <cell r="H640">
            <v>4.8369142902527252E-4</v>
          </cell>
          <cell r="I640">
            <v>3.1131032021465771E-4</v>
          </cell>
        </row>
        <row r="641">
          <cell r="A641" t="str">
            <v>D-T-ELC-Bus_c_S4</v>
          </cell>
          <cell r="B641" t="str">
            <v>VAR_ncap</v>
          </cell>
          <cell r="C641" t="str">
            <v>-</v>
          </cell>
          <cell r="D641">
            <v>5.2916259623931404E-6</v>
          </cell>
          <cell r="E641">
            <v>3.6902518776888401E-6</v>
          </cell>
          <cell r="F641">
            <v>3.3955605737648502E-6</v>
          </cell>
          <cell r="G641">
            <v>2.6485920792057198E-6</v>
          </cell>
          <cell r="H641">
            <v>8.1739110866239906E-5</v>
          </cell>
          <cell r="I641">
            <v>4.1760782791026003E-5</v>
          </cell>
        </row>
        <row r="642">
          <cell r="A642" t="str">
            <v>D-T-ELC-Bus_c_S4</v>
          </cell>
          <cell r="B642" t="str">
            <v>VAR_cap</v>
          </cell>
          <cell r="C642" t="str">
            <v>-</v>
          </cell>
          <cell r="D642">
            <v>5.2916259623931404E-6</v>
          </cell>
          <cell r="E642">
            <v>8.9818778400819797E-6</v>
          </cell>
          <cell r="F642">
            <v>1.23774384138468E-5</v>
          </cell>
          <cell r="G642">
            <v>7.0664073314710302E-6</v>
          </cell>
          <cell r="H642">
            <v>8.90173874881951E-5</v>
          </cell>
          <cell r="I642">
            <v>5.6105067891233799E-5</v>
          </cell>
        </row>
        <row r="643">
          <cell r="A643" t="str">
            <v>D-TH2O</v>
          </cell>
          <cell r="B643" t="str">
            <v>VAR_fout</v>
          </cell>
          <cell r="C643" t="str">
            <v>TH2O</v>
          </cell>
          <cell r="D643">
            <v>2.907397355900598E-3</v>
          </cell>
          <cell r="E643">
            <v>1.4943054078369785E-2</v>
          </cell>
          <cell r="F643">
            <v>1.5321429226564941E-2</v>
          </cell>
          <cell r="G643">
            <v>0.32635294252011349</v>
          </cell>
          <cell r="H643">
            <v>0.64728629943575366</v>
          </cell>
          <cell r="I643">
            <v>1.1231994366041333</v>
          </cell>
        </row>
        <row r="644">
          <cell r="A644" t="str">
            <v>D-TH2O</v>
          </cell>
          <cell r="B644" t="str">
            <v>VAR_fin</v>
          </cell>
          <cell r="C644" t="str">
            <v>H2</v>
          </cell>
          <cell r="D644">
            <v>2.907397355900598E-3</v>
          </cell>
          <cell r="E644">
            <v>1.4943054078369785E-2</v>
          </cell>
          <cell r="F644">
            <v>1.5321429226564941E-2</v>
          </cell>
          <cell r="G644">
            <v>0.32635294252011349</v>
          </cell>
          <cell r="H644">
            <v>0.64728629943575366</v>
          </cell>
          <cell r="I644">
            <v>1.1231994366041333</v>
          </cell>
        </row>
        <row r="645">
          <cell r="A645" t="str">
            <v>D-TH2O</v>
          </cell>
          <cell r="B645" t="str">
            <v>VAR_ncap</v>
          </cell>
          <cell r="C645" t="str">
            <v>-</v>
          </cell>
          <cell r="D645">
            <v>6.4529413289199995E-4</v>
          </cell>
          <cell r="E645">
            <v>2.0996701917656E-3</v>
          </cell>
          <cell r="F645">
            <v>8.1322810059904099E-6</v>
          </cell>
          <cell r="G645">
            <v>3.7154127760749202E-2</v>
          </cell>
          <cell r="H645">
            <v>7.6557762120413902E-2</v>
          </cell>
          <cell r="I645">
            <v>0.110299479060274</v>
          </cell>
        </row>
        <row r="646">
          <cell r="A646" t="str">
            <v>D-TH2O</v>
          </cell>
          <cell r="B646" t="str">
            <v>VAR_cap</v>
          </cell>
          <cell r="C646" t="str">
            <v>-</v>
          </cell>
          <cell r="D646">
            <v>6.4529413289199995E-4</v>
          </cell>
          <cell r="E646">
            <v>2.7449643246576002E-3</v>
          </cell>
          <cell r="F646">
            <v>2.75309660566359E-3</v>
          </cell>
          <cell r="G646">
            <v>3.9907224366412801E-2</v>
          </cell>
          <cell r="H646">
            <v>0.123201852587088</v>
          </cell>
          <cell r="I646">
            <v>0.233501331647362</v>
          </cell>
        </row>
        <row r="647">
          <cell r="A647" t="str">
            <v>TFHGV-HYBDSL</v>
          </cell>
          <cell r="B647" t="str">
            <v>VAR_fout</v>
          </cell>
          <cell r="C647" t="str">
            <v>CO2_T</v>
          </cell>
          <cell r="E647">
            <v>103.361062259695</v>
          </cell>
          <cell r="F647">
            <v>318.195444501336</v>
          </cell>
          <cell r="G647">
            <v>819.04037873456525</v>
          </cell>
          <cell r="H647">
            <v>757.30133071213004</v>
          </cell>
          <cell r="I647">
            <v>34.883331111447603</v>
          </cell>
        </row>
        <row r="648">
          <cell r="A648" t="str">
            <v>TFHGV-HYBDSL</v>
          </cell>
          <cell r="B648" t="str">
            <v>VAR_fout</v>
          </cell>
          <cell r="C648" t="str">
            <v>TFHGV</v>
          </cell>
          <cell r="E648">
            <v>0.23050624115920065</v>
          </cell>
          <cell r="F648">
            <v>0.70960992720548666</v>
          </cell>
          <cell r="G648">
            <v>1.8265477824266818</v>
          </cell>
          <cell r="H648">
            <v>1.6888630916807352</v>
          </cell>
          <cell r="I648">
            <v>7.7793565176497034E-2</v>
          </cell>
        </row>
        <row r="649">
          <cell r="A649" t="str">
            <v>TFHGV-HYBDSL</v>
          </cell>
          <cell r="B649" t="str">
            <v>VAR_fin</v>
          </cell>
          <cell r="C649" t="str">
            <v>TDSL</v>
          </cell>
          <cell r="E649">
            <v>1.4101099899003453</v>
          </cell>
          <cell r="F649">
            <v>4.3410019713688541</v>
          </cell>
          <cell r="G649">
            <v>11.173811442490669</v>
          </cell>
          <cell r="H649">
            <v>10.331532479019518</v>
          </cell>
          <cell r="I649">
            <v>0.47589810520392284</v>
          </cell>
        </row>
        <row r="650">
          <cell r="A650" t="str">
            <v>TFHGV-HYBDSL</v>
          </cell>
          <cell r="B650" t="str">
            <v>VAR_ncap</v>
          </cell>
          <cell r="C650" t="str">
            <v>-</v>
          </cell>
          <cell r="E650">
            <v>4.3363959876472798E-3</v>
          </cell>
          <cell r="F650">
            <v>9.0140999041965694E-3</v>
          </cell>
          <cell r="G650">
            <v>2.6449892132959299E-2</v>
          </cell>
          <cell r="H650">
            <v>1.19204867075804E-2</v>
          </cell>
        </row>
        <row r="651">
          <cell r="A651" t="str">
            <v>TFHGV-HYBDSL</v>
          </cell>
          <cell r="B651" t="str">
            <v>VAR_cap</v>
          </cell>
          <cell r="C651" t="str">
            <v>-</v>
          </cell>
          <cell r="E651">
            <v>4.3363959876472798E-3</v>
          </cell>
          <cell r="F651">
            <v>1.3350495891843899E-2</v>
          </cell>
          <cell r="G651">
            <v>3.4361838304597297E-2</v>
          </cell>
          <cell r="H651">
            <v>3.3810985110474999E-2</v>
          </cell>
          <cell r="I651">
            <v>2.0905905011551922E-3</v>
          </cell>
        </row>
        <row r="652">
          <cell r="A652" t="str">
            <v>D-TKER</v>
          </cell>
          <cell r="B652" t="str">
            <v>VAR_fout</v>
          </cell>
          <cell r="C652" t="str">
            <v>CO2</v>
          </cell>
          <cell r="D652">
            <v>80.763254672403804</v>
          </cell>
          <cell r="E652">
            <v>102.299643522715</v>
          </cell>
          <cell r="F652">
            <v>134.604226798182</v>
          </cell>
          <cell r="G652">
            <v>152.34414890646499</v>
          </cell>
          <cell r="H652">
            <v>155.93732092185201</v>
          </cell>
          <cell r="I652">
            <v>7.3240249099103307E-5</v>
          </cell>
        </row>
        <row r="653">
          <cell r="A653" t="str">
            <v>D-TKER</v>
          </cell>
          <cell r="B653" t="str">
            <v>VAR_fout</v>
          </cell>
          <cell r="C653" t="str">
            <v>TKER</v>
          </cell>
          <cell r="D653">
            <v>1.0930817228491501</v>
          </cell>
          <cell r="E653">
            <v>1.3845636984571901</v>
          </cell>
          <cell r="F653">
            <v>1.82178666186924</v>
          </cell>
          <cell r="G653">
            <v>2.0618857601533298</v>
          </cell>
          <cell r="H653">
            <v>2.1105171665151001</v>
          </cell>
          <cell r="I653">
            <v>9.912624001085961E-7</v>
          </cell>
        </row>
        <row r="654">
          <cell r="A654" t="str">
            <v>D-TKER</v>
          </cell>
          <cell r="B654" t="str">
            <v>VAR_fin</v>
          </cell>
          <cell r="C654" t="str">
            <v>KER</v>
          </cell>
          <cell r="D654">
            <v>1.1093853663791744</v>
          </cell>
          <cell r="E654">
            <v>1.4052148835537817</v>
          </cell>
          <cell r="F654">
            <v>1.8489591593156731</v>
          </cell>
          <cell r="G654">
            <v>2.0926394080558417</v>
          </cell>
          <cell r="H654">
            <v>2.1419961665089629</v>
          </cell>
          <cell r="I654">
            <v>1.0060473777349339E-6</v>
          </cell>
        </row>
        <row r="655">
          <cell r="A655" t="str">
            <v>T_B_u-BEVELC-S1</v>
          </cell>
          <cell r="B655" t="str">
            <v>VAR_fout</v>
          </cell>
          <cell r="C655" t="str">
            <v>TPBSu</v>
          </cell>
          <cell r="D655">
            <v>1.3203220698467771E-7</v>
          </cell>
          <cell r="E655">
            <v>2.8699147974725755E-4</v>
          </cell>
          <cell r="F655">
            <v>9.0016558481454355E-4</v>
          </cell>
          <cell r="G655">
            <v>0.10774797280901964</v>
          </cell>
          <cell r="H655">
            <v>0.11914213996365454</v>
          </cell>
          <cell r="I655">
            <v>0.12469172713118531</v>
          </cell>
        </row>
        <row r="656">
          <cell r="A656" t="str">
            <v>T_B_u-BEVELC-S1</v>
          </cell>
          <cell r="B656" t="str">
            <v>VAR_fin</v>
          </cell>
          <cell r="C656" t="str">
            <v>T-ELC-Bus_u_BatSTGout_S1</v>
          </cell>
          <cell r="D656">
            <v>3.4865215707877796E-7</v>
          </cell>
          <cell r="E656">
            <v>7.3134158236874951E-4</v>
          </cell>
          <cell r="F656">
            <v>2.216104395453005E-3</v>
          </cell>
          <cell r="G656">
            <v>0.2408961677642103</v>
          </cell>
          <cell r="H656">
            <v>0.25121450121083233</v>
          </cell>
          <cell r="I656">
            <v>0.23552069034799389</v>
          </cell>
        </row>
        <row r="657">
          <cell r="A657" t="str">
            <v>T_B_u-BEVELC-S1</v>
          </cell>
          <cell r="B657" t="str">
            <v>VAR_ncap</v>
          </cell>
          <cell r="C657" t="str">
            <v>-</v>
          </cell>
          <cell r="E657">
            <v>5.6638907974250797E-6</v>
          </cell>
          <cell r="F657">
            <v>1.18258886097194E-5</v>
          </cell>
          <cell r="G657">
            <v>2.0288321745779202E-3</v>
          </cell>
          <cell r="H657">
            <v>3.1815346147941702E-4</v>
          </cell>
          <cell r="I657">
            <v>2.1453249590359501E-3</v>
          </cell>
        </row>
        <row r="658">
          <cell r="A658" t="str">
            <v>T_B_u-BEVELC-S1</v>
          </cell>
          <cell r="B658" t="str">
            <v>VAR_cap</v>
          </cell>
          <cell r="C658" t="str">
            <v>-</v>
          </cell>
          <cell r="D658">
            <v>3.02390998593531E-8</v>
          </cell>
          <cell r="E658">
            <v>5.7053816553716337E-6</v>
          </cell>
          <cell r="F658">
            <v>1.7512856210819608E-5</v>
          </cell>
          <cell r="G658">
            <v>2.0324968166903034E-3</v>
          </cell>
          <cell r="H658">
            <v>2.7672764605598953E-3</v>
          </cell>
          <cell r="I658">
            <v>2.7344535848892976E-3</v>
          </cell>
        </row>
        <row r="659">
          <cell r="A659" t="str">
            <v>TPSHPH2OEXT</v>
          </cell>
          <cell r="B659" t="str">
            <v>VAR_fout</v>
          </cell>
          <cell r="C659" t="str">
            <v>TPSHP</v>
          </cell>
          <cell r="G659">
            <v>0.52375730625181405</v>
          </cell>
          <cell r="H659">
            <v>1.45522210938999E-4</v>
          </cell>
          <cell r="I659">
            <v>8.0489761583991103E-7</v>
          </cell>
        </row>
        <row r="660">
          <cell r="A660" t="str">
            <v>TPSHPH2OEXT</v>
          </cell>
          <cell r="B660" t="str">
            <v>VAR_fin</v>
          </cell>
          <cell r="C660" t="str">
            <v>TH2O</v>
          </cell>
          <cell r="G660">
            <v>0.29203437681919292</v>
          </cell>
          <cell r="H660">
            <v>8.1139657008411458E-5</v>
          </cell>
          <cell r="I660">
            <v>4.4879139792285634E-7</v>
          </cell>
        </row>
        <row r="661">
          <cell r="A661" t="str">
            <v>TPSHPH2OEXT</v>
          </cell>
          <cell r="B661" t="str">
            <v>VAR_ncap</v>
          </cell>
          <cell r="C661" t="str">
            <v>-</v>
          </cell>
          <cell r="G661">
            <v>0.52375342408773595</v>
          </cell>
          <cell r="H661">
            <v>2.8130663803583299E-7</v>
          </cell>
          <cell r="I661">
            <v>2.1485128369833699E-7</v>
          </cell>
        </row>
        <row r="662">
          <cell r="A662" t="str">
            <v>TPSHPH2OEXT</v>
          </cell>
          <cell r="B662" t="str">
            <v>VAR_cap</v>
          </cell>
          <cell r="C662" t="str">
            <v>-</v>
          </cell>
          <cell r="G662">
            <v>0.52375342408773595</v>
          </cell>
          <cell r="H662">
            <v>1.1531750898630122E-7</v>
          </cell>
          <cell r="I662">
            <v>8.5330949001205525E-8</v>
          </cell>
        </row>
        <row r="663">
          <cell r="A663" t="str">
            <v>T_B_u-BEVELC-S2</v>
          </cell>
          <cell r="B663" t="str">
            <v>VAR_fout</v>
          </cell>
          <cell r="C663" t="str">
            <v>TPBSu</v>
          </cell>
          <cell r="D663">
            <v>1.6692974277328227E-4</v>
          </cell>
          <cell r="E663">
            <v>4.5042825167760991E-4</v>
          </cell>
          <cell r="F663">
            <v>9.9236401738270435E-4</v>
          </cell>
          <cell r="G663">
            <v>3.9646465011942869E-2</v>
          </cell>
          <cell r="H663">
            <v>4.2996523473691775E-2</v>
          </cell>
          <cell r="I663">
            <v>4.5953023584105961E-2</v>
          </cell>
        </row>
        <row r="664">
          <cell r="A664" t="str">
            <v>T_B_u-BEVELC-S2</v>
          </cell>
          <cell r="B664" t="str">
            <v>VAR_fin</v>
          </cell>
          <cell r="C664" t="str">
            <v>T-ELC-Bus_u_BatSTGout_S2</v>
          </cell>
          <cell r="D664">
            <v>6.0661863190796981E-4</v>
          </cell>
          <cell r="E664">
            <v>1.6175752602168856E-3</v>
          </cell>
          <cell r="F664">
            <v>3.428301270640719E-3</v>
          </cell>
          <cell r="G664">
            <v>0.12243834018475806</v>
          </cell>
          <cell r="H664">
            <v>0.12518532514626221</v>
          </cell>
          <cell r="I664">
            <v>0.1202770579414919</v>
          </cell>
        </row>
        <row r="665">
          <cell r="A665" t="str">
            <v>T_B_u-BEVELC-S2</v>
          </cell>
          <cell r="B665" t="str">
            <v>VAR_ncap</v>
          </cell>
          <cell r="C665" t="str">
            <v>-</v>
          </cell>
          <cell r="E665">
            <v>1.58846473654719E-6</v>
          </cell>
          <cell r="F665">
            <v>1.01032380553097E-5</v>
          </cell>
          <cell r="G665">
            <v>7.3536846962064405E-4</v>
          </cell>
          <cell r="H665">
            <v>1.05979275284406E-4</v>
          </cell>
          <cell r="I665">
            <v>6.9026499096341398E-4</v>
          </cell>
        </row>
        <row r="666">
          <cell r="A666" t="str">
            <v>T_B_u-BEVELC-S2</v>
          </cell>
          <cell r="B666" t="str">
            <v>VAR_cap</v>
          </cell>
          <cell r="C666" t="str">
            <v>-</v>
          </cell>
          <cell r="D666">
            <v>4.2689479170099196E-6</v>
          </cell>
          <cell r="E666">
            <v>8.8417927721229598E-6</v>
          </cell>
          <cell r="F666">
            <v>1.8957562649979059E-5</v>
          </cell>
          <cell r="G666">
            <v>7.4862733546635486E-4</v>
          </cell>
          <cell r="H666">
            <v>8.1145130075617597E-4</v>
          </cell>
          <cell r="I666">
            <v>8.6694153479476943E-4</v>
          </cell>
        </row>
        <row r="667">
          <cell r="A667" t="str">
            <v>TFHGV-ICEDSL</v>
          </cell>
          <cell r="B667" t="str">
            <v>VAR_fout</v>
          </cell>
          <cell r="C667" t="str">
            <v>CO2_T</v>
          </cell>
          <cell r="D667">
            <v>382.17787727057384</v>
          </cell>
          <cell r="E667">
            <v>401.88806259797263</v>
          </cell>
          <cell r="F667">
            <v>335.17414686216716</v>
          </cell>
          <cell r="G667">
            <v>32.260227916942107</v>
          </cell>
          <cell r="H667">
            <v>0.10428496905047571</v>
          </cell>
          <cell r="I667">
            <v>9.3806839460174908E-3</v>
          </cell>
        </row>
        <row r="668">
          <cell r="A668" t="str">
            <v>TFHGV-ICEDSL</v>
          </cell>
          <cell r="B668" t="str">
            <v>VAR_fout</v>
          </cell>
          <cell r="C668" t="str">
            <v>TFHGV</v>
          </cell>
          <cell r="D668">
            <v>0.61890664900645476</v>
          </cell>
          <cell r="E668">
            <v>0.65082572511676406</v>
          </cell>
          <cell r="F668">
            <v>0.54278784933748692</v>
          </cell>
          <cell r="G668">
            <v>5.2242871039140555E-2</v>
          </cell>
          <cell r="H668">
            <v>1.6888120578229302E-4</v>
          </cell>
          <cell r="I668">
            <v>1.5191270902130117E-5</v>
          </cell>
        </row>
        <row r="669">
          <cell r="A669" t="str">
            <v>TFHGV-ICEDSL</v>
          </cell>
          <cell r="B669" t="str">
            <v>VAR_fin</v>
          </cell>
          <cell r="C669" t="str">
            <v>TDSL</v>
          </cell>
          <cell r="D669">
            <v>5.2138864566244738</v>
          </cell>
          <cell r="E669">
            <v>5.4827839372165386</v>
          </cell>
          <cell r="F669">
            <v>4.5726350185834521</v>
          </cell>
          <cell r="G669">
            <v>0.44011224989006947</v>
          </cell>
          <cell r="H669">
            <v>1.4227144481647439E-3</v>
          </cell>
          <cell r="I669">
            <v>1.2797658862233959E-4</v>
          </cell>
        </row>
        <row r="670">
          <cell r="A670" t="str">
            <v>TFHGV-ICEDSL</v>
          </cell>
          <cell r="B670" t="str">
            <v>VAR_ncap</v>
          </cell>
          <cell r="C670" t="str">
            <v>-</v>
          </cell>
          <cell r="E670">
            <v>1.1467611663527199E-6</v>
          </cell>
          <cell r="F670">
            <v>2.1524490009958399E-6</v>
          </cell>
          <cell r="G670">
            <v>1.5843273095483099E-6</v>
          </cell>
          <cell r="H670">
            <v>2.2025419095888098E-6</v>
          </cell>
        </row>
        <row r="671">
          <cell r="A671" t="str">
            <v>TFHGV-ICEDSL</v>
          </cell>
          <cell r="B671" t="str">
            <v>VAR_cap</v>
          </cell>
          <cell r="C671" t="str">
            <v>-</v>
          </cell>
          <cell r="D671">
            <v>1.1645168234168233E-2</v>
          </cell>
          <cell r="E671">
            <v>1.2243990748954393E-2</v>
          </cell>
          <cell r="F671">
            <v>1.0216012741179349E-2</v>
          </cell>
          <cell r="G671">
            <v>9.8338000311504019E-4</v>
          </cell>
          <cell r="H671">
            <v>3.8873274928320399E-6</v>
          </cell>
          <cell r="I671">
            <v>3.7152198469307961E-7</v>
          </cell>
        </row>
        <row r="672">
          <cell r="A672" t="str">
            <v>D-T-ELC-Bus_u_S1</v>
          </cell>
          <cell r="B672" t="str">
            <v>VAR_fout</v>
          </cell>
          <cell r="C672" t="str">
            <v>T-ELC-Bus_u_BatSTGin_S1</v>
          </cell>
          <cell r="D672">
            <v>6.9307475863986747E-6</v>
          </cell>
          <cell r="E672">
            <v>7.4209625947764058E-4</v>
          </cell>
          <cell r="F672">
            <v>2.2299368149554582E-3</v>
          </cell>
          <cell r="G672">
            <v>0.2411277884490084</v>
          </cell>
          <cell r="H672">
            <v>0.25151002157537145</v>
          </cell>
          <cell r="I672">
            <v>0.2357451198777416</v>
          </cell>
        </row>
        <row r="673">
          <cell r="A673" t="str">
            <v>D-T-ELC-Bus_u_S1</v>
          </cell>
          <cell r="B673" t="str">
            <v>VAR_fin</v>
          </cell>
          <cell r="C673" t="str">
            <v>TELC</v>
          </cell>
          <cell r="D673">
            <v>6.9307475863986747E-6</v>
          </cell>
          <cell r="E673">
            <v>7.4209625947764058E-4</v>
          </cell>
          <cell r="F673">
            <v>2.2299368149554582E-3</v>
          </cell>
          <cell r="G673">
            <v>0.2411277884490084</v>
          </cell>
          <cell r="H673">
            <v>0.25151002157537145</v>
          </cell>
          <cell r="I673">
            <v>0.2357451198777416</v>
          </cell>
        </row>
        <row r="674">
          <cell r="A674" t="str">
            <v>D-T-ELC-Bus_u_S1</v>
          </cell>
          <cell r="B674" t="str">
            <v>VAR_ncap</v>
          </cell>
          <cell r="C674" t="str">
            <v>-</v>
          </cell>
          <cell r="D674">
            <v>1.4448012246598299E-4</v>
          </cell>
          <cell r="E674">
            <v>1.4067076118573201E-4</v>
          </cell>
          <cell r="F674">
            <v>3.08059065810651E-4</v>
          </cell>
          <cell r="G674">
            <v>2.49526748598408E-2</v>
          </cell>
          <cell r="H674">
            <v>2.16245667524947E-2</v>
          </cell>
          <cell r="I674">
            <v>1.3978951816000401E-2</v>
          </cell>
        </row>
        <row r="675">
          <cell r="A675" t="str">
            <v>D-T-ELC-Bus_u_S1</v>
          </cell>
          <cell r="B675" t="str">
            <v>VAR_cap</v>
          </cell>
          <cell r="C675" t="str">
            <v>-</v>
          </cell>
          <cell r="D675">
            <v>1.4448012246598299E-4</v>
          </cell>
          <cell r="E675">
            <v>2.8515088365171399E-4</v>
          </cell>
          <cell r="F675">
            <v>5.9320994946236499E-4</v>
          </cell>
          <cell r="G675">
            <v>2.5488482090959601E-2</v>
          </cell>
          <cell r="H675">
            <v>2.6586673118287898E-2</v>
          </cell>
          <cell r="I675">
            <v>2.4918978597730401E-2</v>
          </cell>
        </row>
        <row r="676">
          <cell r="A676" t="str">
            <v>T-Plg-DSL-mix_S1</v>
          </cell>
          <cell r="B676" t="str">
            <v>VAR_fout</v>
          </cell>
          <cell r="C676" t="str">
            <v>CO2_T</v>
          </cell>
          <cell r="D676">
            <v>1.3673171523056701E-3</v>
          </cell>
          <cell r="E676">
            <v>5.6269394521305999E-2</v>
          </cell>
          <cell r="F676">
            <v>0.1849386907962034</v>
          </cell>
          <cell r="G676">
            <v>0.30306342517674378</v>
          </cell>
          <cell r="H676">
            <v>0.1489813666798469</v>
          </cell>
          <cell r="I676">
            <v>6.2452728800115306E-2</v>
          </cell>
        </row>
        <row r="677">
          <cell r="A677" t="str">
            <v>T-Plg-DSL-mix_S1</v>
          </cell>
          <cell r="B677" t="str">
            <v>VAR_fout</v>
          </cell>
          <cell r="C677" t="str">
            <v>T-PEVmix-ELC_DSL_S1</v>
          </cell>
          <cell r="D677">
            <v>1.3587470692216193E-5</v>
          </cell>
          <cell r="E677">
            <v>5.5916708690280164E-4</v>
          </cell>
          <cell r="F677">
            <v>1.8377953036081615E-3</v>
          </cell>
          <cell r="G677">
            <v>3.0116388143949001E-3</v>
          </cell>
          <cell r="H677">
            <v>1.5776176190771141E-3</v>
          </cell>
          <cell r="I677">
            <v>6.8319928924558376E-4</v>
          </cell>
        </row>
        <row r="678">
          <cell r="A678" t="str">
            <v>T-Plg-DSL-mix_S1</v>
          </cell>
          <cell r="B678" t="str">
            <v>VAR_fin</v>
          </cell>
          <cell r="C678" t="str">
            <v>TDSL</v>
          </cell>
          <cell r="D678">
            <v>1.8653712855466184E-5</v>
          </cell>
          <cell r="E678">
            <v>7.6765886113650851E-4</v>
          </cell>
          <cell r="F678">
            <v>2.5230380736180578E-3</v>
          </cell>
          <cell r="G678">
            <v>4.1345624171452051E-3</v>
          </cell>
          <cell r="H678">
            <v>2.0324879492475711E-3</v>
          </cell>
          <cell r="I678">
            <v>8.5201539972872215E-4</v>
          </cell>
        </row>
        <row r="679">
          <cell r="A679" t="str">
            <v>T_B_u-BEVELC-S3</v>
          </cell>
          <cell r="B679" t="str">
            <v>VAR_fout</v>
          </cell>
          <cell r="C679" t="str">
            <v>TPBSu</v>
          </cell>
          <cell r="D679">
            <v>5.6984499685969398E-4</v>
          </cell>
          <cell r="E679">
            <v>9.936605537781292E-4</v>
          </cell>
          <cell r="F679">
            <v>1.3431139651346471E-3</v>
          </cell>
          <cell r="G679">
            <v>0.1732787847056047</v>
          </cell>
          <cell r="H679">
            <v>0.18334784972625409</v>
          </cell>
          <cell r="I679">
            <v>0.19971208799198853</v>
          </cell>
        </row>
        <row r="680">
          <cell r="A680" t="str">
            <v>T_B_u-BEVELC-S3</v>
          </cell>
          <cell r="B680" t="str">
            <v>VAR_fin</v>
          </cell>
          <cell r="C680" t="str">
            <v>T-ELC-Bus_u_BatSTGout_S3</v>
          </cell>
          <cell r="D680">
            <v>3.1144107169260439E-3</v>
          </cell>
          <cell r="E680">
            <v>5.3562799001568686E-3</v>
          </cell>
          <cell r="F680">
            <v>7.1156449420103473E-3</v>
          </cell>
          <cell r="G680">
            <v>0.80257745688488324</v>
          </cell>
          <cell r="H680">
            <v>0.77666069357311462</v>
          </cell>
          <cell r="I680">
            <v>0.77914800454656785</v>
          </cell>
        </row>
        <row r="681">
          <cell r="A681" t="str">
            <v>T_B_u-BEVELC-S3</v>
          </cell>
          <cell r="B681" t="str">
            <v>VAR_ncap</v>
          </cell>
          <cell r="C681" t="str">
            <v>-</v>
          </cell>
          <cell r="E681">
            <v>9.8574613873787392E-7</v>
          </cell>
          <cell r="F681">
            <v>6.2515425354965299E-6</v>
          </cell>
          <cell r="G681">
            <v>3.5406567224364098E-3</v>
          </cell>
          <cell r="H681">
            <v>2.5887379932860301E-3</v>
          </cell>
          <cell r="I681">
            <v>2.8794656182018299E-3</v>
          </cell>
        </row>
        <row r="682">
          <cell r="A682" t="str">
            <v>T_B_u-BEVELC-S3</v>
          </cell>
          <cell r="B682" t="str">
            <v>VAR_cap</v>
          </cell>
          <cell r="C682" t="str">
            <v>-</v>
          </cell>
          <cell r="D682">
            <v>1.52179304847782E-5</v>
          </cell>
          <cell r="E682">
            <v>1.9138154532950474E-5</v>
          </cell>
          <cell r="F682">
            <v>2.5410962204762409E-5</v>
          </cell>
          <cell r="G682">
            <v>3.5572914542837467E-3</v>
          </cell>
          <cell r="H682">
            <v>3.45764590285056E-3</v>
          </cell>
          <cell r="I682">
            <v>3.7661633831566101E-3</v>
          </cell>
        </row>
        <row r="683">
          <cell r="A683" t="str">
            <v>D-T-ELC-Bus_u_S2</v>
          </cell>
          <cell r="B683" t="str">
            <v>VAR_fout</v>
          </cell>
          <cell r="C683" t="str">
            <v>T-ELC-Bus_u_BatSTGin_S2</v>
          </cell>
          <cell r="D683">
            <v>5.9023307045196274E-4</v>
          </cell>
          <cell r="E683">
            <v>1.620761071749496E-3</v>
          </cell>
          <cell r="F683">
            <v>3.4338522871948307E-3</v>
          </cell>
          <cell r="G683">
            <v>0.122613130243188</v>
          </cell>
          <cell r="H683">
            <v>0.12544096267838542</v>
          </cell>
          <cell r="I683">
            <v>0.12047492350942819</v>
          </cell>
        </row>
        <row r="684">
          <cell r="A684" t="str">
            <v>D-T-ELC-Bus_u_S2</v>
          </cell>
          <cell r="B684" t="str">
            <v>VAR_fin</v>
          </cell>
          <cell r="C684" t="str">
            <v>TELC</v>
          </cell>
          <cell r="D684">
            <v>5.9023307045196274E-4</v>
          </cell>
          <cell r="E684">
            <v>1.620761071749496E-3</v>
          </cell>
          <cell r="F684">
            <v>3.4338522871948307E-3</v>
          </cell>
          <cell r="G684">
            <v>0.122613130243188</v>
          </cell>
          <cell r="H684">
            <v>0.12544096267838542</v>
          </cell>
          <cell r="I684">
            <v>0.12047492350942819</v>
          </cell>
        </row>
        <row r="685">
          <cell r="A685" t="str">
            <v>D-T-ELC-Bus_u_S2</v>
          </cell>
          <cell r="B685" t="str">
            <v>VAR_ncap</v>
          </cell>
          <cell r="C685" t="str">
            <v>-</v>
          </cell>
          <cell r="D685">
            <v>1.5562260888071999E-4</v>
          </cell>
          <cell r="E685">
            <v>1.5268965411584199E-4</v>
          </cell>
          <cell r="F685">
            <v>3.2148910014382699E-4</v>
          </cell>
          <cell r="G685">
            <v>1.2393905912082301E-2</v>
          </cell>
          <cell r="H685">
            <v>1.07097078570902E-2</v>
          </cell>
          <cell r="I685">
            <v>7.3015930859864197E-3</v>
          </cell>
        </row>
        <row r="686">
          <cell r="A686" t="str">
            <v>D-T-ELC-Bus_u_S2</v>
          </cell>
          <cell r="B686" t="str">
            <v>VAR_cap</v>
          </cell>
          <cell r="C686" t="str">
            <v>-</v>
          </cell>
          <cell r="D686">
            <v>1.5562260888071999E-4</v>
          </cell>
          <cell r="E686">
            <v>3.0831226299656299E-4</v>
          </cell>
          <cell r="F686">
            <v>6.2980136314038997E-4</v>
          </cell>
          <cell r="G686">
            <v>1.29617225432581E-2</v>
          </cell>
          <cell r="H686">
            <v>1.32615443261634E-2</v>
          </cell>
          <cell r="I686">
            <v>1.2735148183108501E-2</v>
          </cell>
        </row>
        <row r="687">
          <cell r="A687" t="str">
            <v>T-Plg-DSL-mix_S2</v>
          </cell>
          <cell r="B687" t="str">
            <v>VAR_fout</v>
          </cell>
          <cell r="C687" t="str">
            <v>CO2_T</v>
          </cell>
          <cell r="D687">
            <v>7.8506111695928003E-4</v>
          </cell>
          <cell r="E687">
            <v>5.5900789141542298E-2</v>
          </cell>
          <cell r="F687">
            <v>116.57496469777109</v>
          </cell>
          <cell r="G687">
            <v>85.320958435831699</v>
          </cell>
          <cell r="H687">
            <v>5.8375137320153039</v>
          </cell>
          <cell r="I687">
            <v>0.25236927937215742</v>
          </cell>
        </row>
        <row r="688">
          <cell r="A688" t="str">
            <v>T-Plg-DSL-mix_S2</v>
          </cell>
          <cell r="B688" t="str">
            <v>VAR_fout</v>
          </cell>
          <cell r="C688" t="str">
            <v>T-PEVmix-ELC_DSL_S2</v>
          </cell>
          <cell r="D688">
            <v>6.3782098492714061E-6</v>
          </cell>
          <cell r="E688">
            <v>4.5416459455490125E-4</v>
          </cell>
          <cell r="F688">
            <v>0.94711045032224794</v>
          </cell>
          <cell r="G688">
            <v>0.69318804063623529</v>
          </cell>
          <cell r="H688">
            <v>5.1208502382378528E-2</v>
          </cell>
          <cell r="I688">
            <v>2.2805674953745693E-3</v>
          </cell>
        </row>
        <row r="689">
          <cell r="A689" t="str">
            <v>T-Plg-DSL-mix_S2</v>
          </cell>
          <cell r="B689" t="str">
            <v>VAR_fin</v>
          </cell>
          <cell r="C689" t="str">
            <v>TDSL</v>
          </cell>
          <cell r="D689">
            <v>1.0710247161790992E-5</v>
          </cell>
          <cell r="E689">
            <v>7.6263013835664876E-4</v>
          </cell>
          <cell r="F689">
            <v>1.5903815102015155</v>
          </cell>
          <cell r="G689">
            <v>1.1639967044451802</v>
          </cell>
          <cell r="H689">
            <v>7.9638659372650716E-2</v>
          </cell>
          <cell r="I689">
            <v>3.4429642479148329E-3</v>
          </cell>
        </row>
        <row r="690">
          <cell r="A690" t="str">
            <v>T_B_u-BEVELC-S4</v>
          </cell>
          <cell r="B690" t="str">
            <v>VAR_fout</v>
          </cell>
          <cell r="C690" t="str">
            <v>TPBSu</v>
          </cell>
          <cell r="D690">
            <v>1.0674239100015207E-6</v>
          </cell>
          <cell r="E690">
            <v>1.9528063331295083E-5</v>
          </cell>
          <cell r="F690">
            <v>5.8180180544390963E-5</v>
          </cell>
          <cell r="G690">
            <v>2.0995856252286681E-3</v>
          </cell>
          <cell r="H690">
            <v>2.4435460177318298E-5</v>
          </cell>
          <cell r="I690">
            <v>1.2780566897087727E-5</v>
          </cell>
        </row>
        <row r="691">
          <cell r="A691" t="str">
            <v>T_B_u-BEVELC-S4</v>
          </cell>
          <cell r="B691" t="str">
            <v>VAR_fin</v>
          </cell>
          <cell r="C691" t="str">
            <v>T-ELC-Bus_u_BatSTGout_S4</v>
          </cell>
          <cell r="D691">
            <v>8.7503010850446906E-6</v>
          </cell>
          <cell r="E691">
            <v>1.5713014303791171E-4</v>
          </cell>
          <cell r="F691">
            <v>4.5451735353010801E-4</v>
          </cell>
          <cell r="G691">
            <v>1.457373487824413E-2</v>
          </cell>
          <cell r="H691">
            <v>1.5573139808755588E-4</v>
          </cell>
          <cell r="I691">
            <v>7.5259881262464254E-5</v>
          </cell>
        </row>
        <row r="692">
          <cell r="A692" t="str">
            <v>T_B_u-BEVELC-S4</v>
          </cell>
          <cell r="B692" t="str">
            <v>VAR_ncap</v>
          </cell>
          <cell r="C692" t="str">
            <v>-</v>
          </cell>
          <cell r="E692">
            <v>3.1839959624889498E-7</v>
          </cell>
          <cell r="F692">
            <v>4.5207542183241498E-7</v>
          </cell>
          <cell r="G692">
            <v>2.28844136180238E-4</v>
          </cell>
          <cell r="H692">
            <v>4.7915904419166596E-7</v>
          </cell>
          <cell r="I692">
            <v>2.0417013022640601E-7</v>
          </cell>
        </row>
        <row r="693">
          <cell r="A693" t="str">
            <v>T_B_u-BEVELC-S4</v>
          </cell>
          <cell r="B693" t="str">
            <v>VAR_cap</v>
          </cell>
          <cell r="C693" t="str">
            <v>-</v>
          </cell>
          <cell r="D693">
            <v>3.6065702122735026E-7</v>
          </cell>
          <cell r="E693">
            <v>6.7950152274793394E-7</v>
          </cell>
          <cell r="F693">
            <v>1.0728826889120739E-6</v>
          </cell>
          <cell r="G693">
            <v>2.2931817622449043E-4</v>
          </cell>
          <cell r="H693">
            <v>6.6504954103606096E-7</v>
          </cell>
          <cell r="I693">
            <v>2.8825709747364999E-7</v>
          </cell>
        </row>
        <row r="694">
          <cell r="A694" t="str">
            <v>D-TBDS1</v>
          </cell>
          <cell r="B694" t="str">
            <v>VAR_fout</v>
          </cell>
          <cell r="C694" t="str">
            <v>TDSL</v>
          </cell>
          <cell r="D694">
            <v>2.9709293671112933</v>
          </cell>
          <cell r="E694">
            <v>2.9709295483569966</v>
          </cell>
          <cell r="F694">
            <v>2.9709309637533523</v>
          </cell>
          <cell r="G694">
            <v>2.4823560132201243</v>
          </cell>
          <cell r="H694">
            <v>2.9608210541842155</v>
          </cell>
          <cell r="I694">
            <v>6.5627780110944904</v>
          </cell>
        </row>
        <row r="695">
          <cell r="A695" t="str">
            <v>D-TBDS1</v>
          </cell>
          <cell r="B695" t="str">
            <v>VAR_fout</v>
          </cell>
          <cell r="C695" t="str">
            <v>TKER</v>
          </cell>
          <cell r="G695">
            <v>0.48860633740283799</v>
          </cell>
          <cell r="H695">
            <v>1.0117519066906199E-2</v>
          </cell>
          <cell r="I695">
            <v>1.6907753187335</v>
          </cell>
        </row>
        <row r="696">
          <cell r="A696" t="str">
            <v>D-TBDS1</v>
          </cell>
          <cell r="B696" t="str">
            <v>VAR_fin</v>
          </cell>
          <cell r="C696" t="str">
            <v>BDS</v>
          </cell>
          <cell r="D696">
            <v>3.0152416745460977</v>
          </cell>
          <cell r="E696">
            <v>3.0152418584951386</v>
          </cell>
          <cell r="F696">
            <v>3.0152432950025596</v>
          </cell>
          <cell r="G696">
            <v>3.0152744910533946</v>
          </cell>
          <cell r="H696">
            <v>3.0152496433347964</v>
          </cell>
          <cell r="I696">
            <v>8.3766563774129281</v>
          </cell>
        </row>
        <row r="697">
          <cell r="A697" t="str">
            <v>D-T-ELC-Bus_u_S3</v>
          </cell>
          <cell r="B697" t="str">
            <v>VAR_fout</v>
          </cell>
          <cell r="C697" t="str">
            <v>T-ELC-Bus_u_BatSTGin_S3</v>
          </cell>
          <cell r="D697">
            <v>3.0763067555190536E-3</v>
          </cell>
          <cell r="E697">
            <v>5.3441834029328786E-3</v>
          </cell>
          <cell r="F697">
            <v>7.1047411701094078E-3</v>
          </cell>
          <cell r="G697">
            <v>0.80272035115492324</v>
          </cell>
          <cell r="H697">
            <v>0.77683788389527653</v>
          </cell>
          <cell r="I697">
            <v>0.77931014280341138</v>
          </cell>
        </row>
        <row r="698">
          <cell r="A698" t="str">
            <v>D-T-ELC-Bus_u_S3</v>
          </cell>
          <cell r="B698" t="str">
            <v>VAR_fin</v>
          </cell>
          <cell r="C698" t="str">
            <v>TELC</v>
          </cell>
          <cell r="D698">
            <v>3.0763067555190536E-3</v>
          </cell>
          <cell r="E698">
            <v>5.3441834029328786E-3</v>
          </cell>
          <cell r="F698">
            <v>7.1047411701094078E-3</v>
          </cell>
          <cell r="G698">
            <v>0.80272035115492324</v>
          </cell>
          <cell r="H698">
            <v>0.77683788389527653</v>
          </cell>
          <cell r="I698">
            <v>0.77931014280341138</v>
          </cell>
        </row>
        <row r="699">
          <cell r="A699" t="str">
            <v>D-T-ELC-Bus_u_S3</v>
          </cell>
          <cell r="B699" t="str">
            <v>VAR_ncap</v>
          </cell>
          <cell r="C699" t="str">
            <v>-</v>
          </cell>
          <cell r="D699">
            <v>3.3816636381190702E-4</v>
          </cell>
          <cell r="E699">
            <v>2.45309477315421E-4</v>
          </cell>
          <cell r="F699">
            <v>1.9763782947926399E-4</v>
          </cell>
          <cell r="G699">
            <v>8.4352874113804099E-2</v>
          </cell>
          <cell r="H699">
            <v>5.8786530883596699E-2</v>
          </cell>
          <cell r="I699">
            <v>6.2237153615450999E-2</v>
          </cell>
        </row>
        <row r="700">
          <cell r="A700" t="str">
            <v>D-T-ELC-Bus_u_S3</v>
          </cell>
          <cell r="B700" t="str">
            <v>VAR_cap</v>
          </cell>
          <cell r="C700" t="str">
            <v>-</v>
          </cell>
          <cell r="D700">
            <v>3.3816636381190702E-4</v>
          </cell>
          <cell r="E700">
            <v>5.8347584112732802E-4</v>
          </cell>
          <cell r="F700">
            <v>7.8111367060659201E-4</v>
          </cell>
          <cell r="G700">
            <v>8.4847967109049502E-2</v>
          </cell>
          <cell r="H700">
            <v>8.2112282388125596E-2</v>
          </cell>
          <cell r="I700">
            <v>8.2372789465475396E-2</v>
          </cell>
        </row>
        <row r="701">
          <cell r="A701" t="str">
            <v>T-Plg-DSL-mix_S3</v>
          </cell>
          <cell r="B701" t="str">
            <v>VAR_fout</v>
          </cell>
          <cell r="C701" t="str">
            <v>CO2_T</v>
          </cell>
          <cell r="D701">
            <v>8.4498037122033194E-3</v>
          </cell>
          <cell r="E701">
            <v>0.1987045357501023</v>
          </cell>
          <cell r="F701">
            <v>109.60291285551064</v>
          </cell>
          <cell r="G701">
            <v>349.46982262454503</v>
          </cell>
          <cell r="H701">
            <v>471.45768460682837</v>
          </cell>
          <cell r="I701">
            <v>185.90266609982788</v>
          </cell>
        </row>
        <row r="702">
          <cell r="A702" t="str">
            <v>T-Plg-DSL-mix_S3</v>
          </cell>
          <cell r="B702" t="str">
            <v>VAR_fout</v>
          </cell>
          <cell r="C702" t="str">
            <v>T-PEVmix-ELC_DSL_S3</v>
          </cell>
          <cell r="D702">
            <v>6.3815375726819542E-5</v>
          </cell>
          <cell r="E702">
            <v>1.500674458177391E-3</v>
          </cell>
          <cell r="F702">
            <v>0.82775308194756392</v>
          </cell>
          <cell r="G702">
            <v>2.6392977630666281</v>
          </cell>
          <cell r="H702">
            <v>3.8455657905520382</v>
          </cell>
          <cell r="I702">
            <v>1.5700107663279368</v>
          </cell>
        </row>
        <row r="703">
          <cell r="A703" t="str">
            <v>T-Plg-DSL-mix_S3</v>
          </cell>
          <cell r="B703" t="str">
            <v>VAR_fin</v>
          </cell>
          <cell r="C703" t="str">
            <v>TDSL</v>
          </cell>
          <cell r="D703">
            <v>1.1527699470945863E-4</v>
          </cell>
          <cell r="E703">
            <v>2.7108395054584234E-3</v>
          </cell>
          <cell r="F703">
            <v>1.495264841139297</v>
          </cell>
          <cell r="G703">
            <v>4.7676647015626852</v>
          </cell>
          <cell r="H703">
            <v>6.4318920137357241</v>
          </cell>
          <cell r="I703">
            <v>2.5361891691654508</v>
          </cell>
        </row>
        <row r="704">
          <cell r="A704" t="str">
            <v>D-T-ELC-Bus_u_S4</v>
          </cell>
          <cell r="B704" t="str">
            <v>VAR_fout</v>
          </cell>
          <cell r="C704" t="str">
            <v>T-ELC-Bus_u_BatSTGin_S4</v>
          </cell>
          <cell r="D704">
            <v>3.5610454806550886E-5</v>
          </cell>
          <cell r="E704">
            <v>1.5931070471403885E-4</v>
          </cell>
          <cell r="F704">
            <v>4.5824353289850662E-4</v>
          </cell>
          <cell r="G704">
            <v>1.4705622754365578E-2</v>
          </cell>
          <cell r="H704">
            <v>3.9868340797302238E-4</v>
          </cell>
          <cell r="I704">
            <v>2.4392027756291808E-4</v>
          </cell>
        </row>
        <row r="705">
          <cell r="A705" t="str">
            <v>D-T-ELC-Bus_u_S4</v>
          </cell>
          <cell r="B705" t="str">
            <v>VAR_fin</v>
          </cell>
          <cell r="C705" t="str">
            <v>TELC</v>
          </cell>
          <cell r="D705">
            <v>3.5610454806550886E-5</v>
          </cell>
          <cell r="E705">
            <v>1.5931070471403885E-4</v>
          </cell>
          <cell r="F705">
            <v>4.5824353289850662E-4</v>
          </cell>
          <cell r="G705">
            <v>1.4705622754365578E-2</v>
          </cell>
          <cell r="H705">
            <v>3.9868340797302238E-4</v>
          </cell>
          <cell r="I705">
            <v>2.4392027756291808E-4</v>
          </cell>
        </row>
        <row r="706">
          <cell r="A706" t="str">
            <v>D-T-ELC-Bus_u_S4</v>
          </cell>
          <cell r="B706" t="str">
            <v>VAR_ncap</v>
          </cell>
          <cell r="C706" t="str">
            <v>-</v>
          </cell>
          <cell r="D706">
            <v>1.04863039260592E-4</v>
          </cell>
          <cell r="E706">
            <v>9.0735248991147895E-5</v>
          </cell>
          <cell r="F706">
            <v>1.08003062370115E-4</v>
          </cell>
          <cell r="G706">
            <v>1.4349142111627299E-3</v>
          </cell>
          <cell r="H706">
            <v>8.3354548808041901E-5</v>
          </cell>
          <cell r="I706">
            <v>3.10578895866211E-5</v>
          </cell>
        </row>
        <row r="707">
          <cell r="A707" t="str">
            <v>D-T-ELC-Bus_u_S4</v>
          </cell>
          <cell r="B707" t="str">
            <v>VAR_cap</v>
          </cell>
          <cell r="C707" t="str">
            <v>-</v>
          </cell>
          <cell r="D707">
            <v>1.04863039260592E-4</v>
          </cell>
          <cell r="E707">
            <v>1.9559828825174E-4</v>
          </cell>
          <cell r="F707">
            <v>3.03601350621854E-4</v>
          </cell>
          <cell r="G707">
            <v>1.55759597226406E-3</v>
          </cell>
          <cell r="H707">
            <v>1.38520508168611E-4</v>
          </cell>
          <cell r="I707">
            <v>4.5685665688300897E-5</v>
          </cell>
        </row>
        <row r="708">
          <cell r="A708" t="str">
            <v>T_C-FC-H2O-S1</v>
          </cell>
          <cell r="B708" t="str">
            <v>VAR_fout</v>
          </cell>
          <cell r="C708" t="str">
            <v>TPCAR</v>
          </cell>
          <cell r="E708">
            <v>1.1621451161172024E-4</v>
          </cell>
          <cell r="F708">
            <v>2.7635298606189105E-4</v>
          </cell>
          <cell r="G708">
            <v>5.0706489394334263E-4</v>
          </cell>
          <cell r="H708">
            <v>0.2902322727107744</v>
          </cell>
          <cell r="I708">
            <v>0.1498305207518274</v>
          </cell>
        </row>
        <row r="709">
          <cell r="A709" t="str">
            <v>T_C-FC-H2O-S1</v>
          </cell>
          <cell r="B709" t="str">
            <v>VAR_fin</v>
          </cell>
          <cell r="C709" t="str">
            <v>TH2O</v>
          </cell>
          <cell r="E709">
            <v>1.0598005330229651E-4</v>
          </cell>
          <cell r="F709">
            <v>2.5201589532072133E-4</v>
          </cell>
          <cell r="G709">
            <v>4.6241010474994078E-4</v>
          </cell>
          <cell r="H709">
            <v>0.23543515537117066</v>
          </cell>
          <cell r="I709">
            <v>0.12136625971081878</v>
          </cell>
        </row>
        <row r="710">
          <cell r="A710" t="str">
            <v>T_C-FC-H2O-S1</v>
          </cell>
          <cell r="B710" t="str">
            <v>VAR_ncap</v>
          </cell>
          <cell r="C710" t="str">
            <v>-</v>
          </cell>
          <cell r="E710">
            <v>1.38710227275602E-5</v>
          </cell>
          <cell r="F710">
            <v>2.5901339180294401E-5</v>
          </cell>
          <cell r="G710">
            <v>3.4977542410991801E-5</v>
          </cell>
          <cell r="H710">
            <v>4.3731927675940203E-2</v>
          </cell>
          <cell r="I710">
            <v>3.4283449744928897E-5</v>
          </cell>
        </row>
        <row r="711">
          <cell r="A711" t="str">
            <v>T_C-FC-H2O-S1</v>
          </cell>
          <cell r="B711" t="str">
            <v>VAR_cap</v>
          </cell>
          <cell r="C711" t="str">
            <v>-</v>
          </cell>
          <cell r="E711">
            <v>1.3686355708601501E-5</v>
          </cell>
          <cell r="F711">
            <v>3.8432767131836835E-5</v>
          </cell>
          <cell r="G711">
            <v>6.5990392564637003E-5</v>
          </cell>
          <cell r="H711">
            <v>4.4102936379484488E-2</v>
          </cell>
          <cell r="I711">
            <v>2.2767776190244039E-2</v>
          </cell>
        </row>
        <row r="712">
          <cell r="A712" t="str">
            <v>T_B_c-ICEDSL-S1</v>
          </cell>
          <cell r="B712" t="str">
            <v>VAR_fout</v>
          </cell>
          <cell r="C712" t="str">
            <v>CO2_T</v>
          </cell>
          <cell r="D712">
            <v>8.3086270388468204</v>
          </cell>
          <cell r="E712">
            <v>22.50142273895295</v>
          </cell>
          <cell r="F712">
            <v>27.38123500826763</v>
          </cell>
          <cell r="H712">
            <v>7.3878033002719098E-4</v>
          </cell>
          <cell r="I712">
            <v>2.64095814542852E-4</v>
          </cell>
        </row>
        <row r="713">
          <cell r="A713" t="str">
            <v>T_B_c-ICEDSL-S1</v>
          </cell>
          <cell r="B713" t="str">
            <v>VAR_fout</v>
          </cell>
          <cell r="C713" t="str">
            <v>TPBSc</v>
          </cell>
          <cell r="D713">
            <v>1.4046359421628353E-2</v>
          </cell>
          <cell r="E713">
            <v>3.8886967249396213E-2</v>
          </cell>
          <cell r="F713">
            <v>4.7900502146462319E-2</v>
          </cell>
          <cell r="H713">
            <v>1.6405897628886747E-6</v>
          </cell>
          <cell r="I713">
            <v>5.8647052736880803E-7</v>
          </cell>
        </row>
        <row r="714">
          <cell r="A714" t="str">
            <v>T_B_c-ICEDSL-S1</v>
          </cell>
          <cell r="B714" t="str">
            <v>VAR_fin</v>
          </cell>
          <cell r="C714" t="str">
            <v>TDSL</v>
          </cell>
          <cell r="D714">
            <v>0.11335098279463594</v>
          </cell>
          <cell r="E714">
            <v>0.30697711785747567</v>
          </cell>
          <cell r="F714">
            <v>0.37355027296408816</v>
          </cell>
          <cell r="H714">
            <v>1.0078858526973955E-5</v>
          </cell>
          <cell r="I714">
            <v>3.60294426388611E-6</v>
          </cell>
        </row>
        <row r="715">
          <cell r="A715" t="str">
            <v>T_B_c-ICEDSL-S1</v>
          </cell>
          <cell r="B715" t="str">
            <v>VAR_ncap</v>
          </cell>
          <cell r="C715" t="str">
            <v>-</v>
          </cell>
          <cell r="E715">
            <v>4.8764476305123702E-4</v>
          </cell>
          <cell r="F715">
            <v>1.9587283409218701E-4</v>
          </cell>
          <cell r="H715">
            <v>5.4608685894635602E-8</v>
          </cell>
        </row>
        <row r="716">
          <cell r="A716" t="str">
            <v>T_B_c-ICEDSL-S1</v>
          </cell>
          <cell r="B716" t="str">
            <v>VAR_cap</v>
          </cell>
          <cell r="C716" t="str">
            <v>-</v>
          </cell>
          <cell r="D716">
            <v>3.05805288461538E-4</v>
          </cell>
          <cell r="E716">
            <v>8.4694710101675954E-4</v>
          </cell>
          <cell r="F716">
            <v>1.0428190197545387E-3</v>
          </cell>
          <cell r="G716">
            <v>-4.8401347050317303E-9</v>
          </cell>
          <cell r="H716">
            <v>4.9312937409721605E-8</v>
          </cell>
          <cell r="I716">
            <v>3.1502970126738898E-8</v>
          </cell>
        </row>
        <row r="717">
          <cell r="A717" t="str">
            <v>T-Plg-DSL-mix_S4</v>
          </cell>
          <cell r="B717" t="str">
            <v>VAR_fout</v>
          </cell>
          <cell r="C717" t="str">
            <v>CO2_T</v>
          </cell>
          <cell r="D717">
            <v>0.45756953367832698</v>
          </cell>
          <cell r="E717">
            <v>1.3199498882485021</v>
          </cell>
          <cell r="F717">
            <v>2.6996196236605159</v>
          </cell>
          <cell r="G717">
            <v>5.6222090089123515</v>
          </cell>
          <cell r="H717">
            <v>1.3053358520149958</v>
          </cell>
          <cell r="I717">
            <v>0.29980587332767261</v>
          </cell>
        </row>
        <row r="718">
          <cell r="A718" t="str">
            <v>T-Plg-DSL-mix_S4</v>
          </cell>
          <cell r="B718" t="str">
            <v>VAR_fout</v>
          </cell>
          <cell r="C718" t="str">
            <v>T-PEVmix-ELC_DSL_S4</v>
          </cell>
          <cell r="D718">
            <v>3.2897468693302069E-3</v>
          </cell>
          <cell r="E718">
            <v>9.4899259957961311E-3</v>
          </cell>
          <cell r="F718">
            <v>1.9409214450809557E-2</v>
          </cell>
          <cell r="G718">
            <v>4.0421494711647604E-2</v>
          </cell>
          <cell r="H718">
            <v>1.0050076201374186E-2</v>
          </cell>
          <cell r="I718">
            <v>2.3856710508551918E-3</v>
          </cell>
        </row>
        <row r="719">
          <cell r="A719" t="str">
            <v>T-Plg-DSL-mix_S4</v>
          </cell>
          <cell r="B719" t="str">
            <v>VAR_fin</v>
          </cell>
          <cell r="C719" t="str">
            <v>TDSL</v>
          </cell>
          <cell r="D719">
            <v>6.2424220147111412E-3</v>
          </cell>
          <cell r="E719">
            <v>1.8007501886064134E-2</v>
          </cell>
          <cell r="F719">
            <v>3.6829735657032958E-2</v>
          </cell>
          <cell r="G719">
            <v>7.6701350735502799E-2</v>
          </cell>
          <cell r="H719">
            <v>1.7808128949727095E-2</v>
          </cell>
          <cell r="I719">
            <v>4.0901210549477837E-3</v>
          </cell>
        </row>
        <row r="720">
          <cell r="A720" t="str">
            <v>T_C-FC-H2O-S2</v>
          </cell>
          <cell r="B720" t="str">
            <v>VAR_fout</v>
          </cell>
          <cell r="C720" t="str">
            <v>TPCAR</v>
          </cell>
          <cell r="D720">
            <v>7.0171379294210558E-5</v>
          </cell>
          <cell r="E720">
            <v>1.8135351242570642E-4</v>
          </cell>
          <cell r="F720">
            <v>3.3737793031249808E-4</v>
          </cell>
          <cell r="G720">
            <v>5.0724398365339831E-4</v>
          </cell>
          <cell r="H720">
            <v>8.216669146680083E-4</v>
          </cell>
          <cell r="I720">
            <v>4.9965913357189688E-4</v>
          </cell>
        </row>
        <row r="721">
          <cell r="A721" t="str">
            <v>T_C-FC-H2O-S2</v>
          </cell>
          <cell r="B721" t="str">
            <v>VAR_fin</v>
          </cell>
          <cell r="C721" t="str">
            <v>TH2O</v>
          </cell>
          <cell r="D721">
            <v>7.8712010391962005E-5</v>
          </cell>
          <cell r="E721">
            <v>2.034262358563721E-4</v>
          </cell>
          <cell r="F721">
            <v>3.7844054689925333E-4</v>
          </cell>
          <cell r="G721">
            <v>5.6898117315303421E-4</v>
          </cell>
          <cell r="H721">
            <v>8.457091488589867E-4</v>
          </cell>
          <cell r="I721">
            <v>4.7833917163351593E-4</v>
          </cell>
        </row>
        <row r="722">
          <cell r="A722" t="str">
            <v>T_C-FC-H2O-S2</v>
          </cell>
          <cell r="B722" t="str">
            <v>VAR_ncap</v>
          </cell>
          <cell r="C722" t="str">
            <v>-</v>
          </cell>
          <cell r="E722">
            <v>8.3282230652994307E-6</v>
          </cell>
          <cell r="F722">
            <v>1.46396194080762E-5</v>
          </cell>
          <cell r="G722">
            <v>1.6849172931073901E-5</v>
          </cell>
          <cell r="H722">
            <v>3.9454921708168399E-5</v>
          </cell>
          <cell r="I722">
            <v>2.1584281308400699E-5</v>
          </cell>
        </row>
        <row r="723">
          <cell r="A723" t="str">
            <v>T_C-FC-H2O-S2</v>
          </cell>
          <cell r="B723" t="str">
            <v>VAR_cap</v>
          </cell>
          <cell r="C723" t="str">
            <v>-</v>
          </cell>
          <cell r="D723">
            <v>6.2276420675400188E-6</v>
          </cell>
          <cell r="E723">
            <v>1.455068150808584E-5</v>
          </cell>
          <cell r="F723">
            <v>2.8510878886337978E-5</v>
          </cell>
          <cell r="G723">
            <v>4.0252304857820391E-5</v>
          </cell>
          <cell r="H723">
            <v>7.7264305464262687E-5</v>
          </cell>
          <cell r="I723">
            <v>4.7674545656867839E-5</v>
          </cell>
        </row>
        <row r="724">
          <cell r="A724" t="str">
            <v>T_B_c-ICEDSL-S2</v>
          </cell>
          <cell r="B724" t="str">
            <v>VAR_fout</v>
          </cell>
          <cell r="C724" t="str">
            <v>CO2_T</v>
          </cell>
          <cell r="D724">
            <v>38.069228209655101</v>
          </cell>
          <cell r="E724">
            <v>29.287806389399098</v>
          </cell>
          <cell r="F724">
            <v>36.138614084101135</v>
          </cell>
          <cell r="H724">
            <v>1.0656467567948999E-3</v>
          </cell>
          <cell r="I724">
            <v>3.9479250161344499E-4</v>
          </cell>
        </row>
        <row r="725">
          <cell r="A725" t="str">
            <v>T_B_c-ICEDSL-S2</v>
          </cell>
          <cell r="B725" t="str">
            <v>VAR_fout</v>
          </cell>
          <cell r="C725" t="str">
            <v>TPBSc</v>
          </cell>
          <cell r="D725">
            <v>4.5426429908427754E-2</v>
          </cell>
          <cell r="E725">
            <v>3.5085403274378396E-2</v>
          </cell>
          <cell r="F725">
            <v>4.3266449210528066E-2</v>
          </cell>
          <cell r="H725">
            <v>1.6491724043115058E-6</v>
          </cell>
          <cell r="I725">
            <v>6.1097253375802011E-7</v>
          </cell>
        </row>
        <row r="726">
          <cell r="A726" t="str">
            <v>T_B_c-ICEDSL-S2</v>
          </cell>
          <cell r="B726" t="str">
            <v>VAR_fin</v>
          </cell>
          <cell r="C726" t="str">
            <v>TDSL</v>
          </cell>
          <cell r="D726">
            <v>0.51936191281930588</v>
          </cell>
          <cell r="E726">
            <v>0.39956079658116106</v>
          </cell>
          <cell r="F726">
            <v>0.49302338450342614</v>
          </cell>
          <cell r="H726">
            <v>1.4538154935810398E-5</v>
          </cell>
          <cell r="I726">
            <v>5.3859822866772758E-6</v>
          </cell>
        </row>
        <row r="727">
          <cell r="A727" t="str">
            <v>T_B_c-ICEDSL-S2</v>
          </cell>
          <cell r="B727" t="str">
            <v>VAR_ncap</v>
          </cell>
          <cell r="C727" t="str">
            <v>-</v>
          </cell>
          <cell r="E727">
            <v>8.7272034357028497E-7</v>
          </cell>
          <cell r="F727">
            <v>1.27280379531986E-6</v>
          </cell>
          <cell r="H727">
            <v>5.4733467903420299E-8</v>
          </cell>
        </row>
        <row r="728">
          <cell r="A728" t="str">
            <v>T_B_c-ICEDSL-S2</v>
          </cell>
          <cell r="B728" t="str">
            <v>VAR_cap</v>
          </cell>
          <cell r="C728" t="str">
            <v>-</v>
          </cell>
          <cell r="D728">
            <v>9.8784375000000001E-4</v>
          </cell>
          <cell r="E728">
            <v>9.3932680363661416E-4</v>
          </cell>
          <cell r="F728">
            <v>9.406304969065731E-4</v>
          </cell>
          <cell r="G728">
            <v>-5.6206927656014122E-9</v>
          </cell>
          <cell r="H728">
            <v>3.4044424890820196E-8</v>
          </cell>
          <cell r="I728">
            <v>2.74491236923298E-8</v>
          </cell>
        </row>
        <row r="729">
          <cell r="A729" t="str">
            <v>T_TW-FCLH2O-S1</v>
          </cell>
          <cell r="B729" t="str">
            <v>VAR_fout</v>
          </cell>
          <cell r="C729" t="str">
            <v>TPTWL</v>
          </cell>
          <cell r="G729">
            <v>2.728205876760806E-4</v>
          </cell>
          <cell r="H729">
            <v>8.7738648402082274E-4</v>
          </cell>
          <cell r="I729">
            <v>6.0142897600881737E-4</v>
          </cell>
        </row>
        <row r="730">
          <cell r="A730" t="str">
            <v>T_TW-FCLH2O-S1</v>
          </cell>
          <cell r="B730" t="str">
            <v>VAR_fin</v>
          </cell>
          <cell r="C730" t="str">
            <v>TH2O</v>
          </cell>
          <cell r="G730">
            <v>5.8808719826175293E-5</v>
          </cell>
          <cell r="H730">
            <v>1.8495727020741726E-4</v>
          </cell>
          <cell r="I730">
            <v>1.2374395775133614E-4</v>
          </cell>
        </row>
        <row r="731">
          <cell r="A731" t="str">
            <v>T_TW-FCLH2O-S1</v>
          </cell>
          <cell r="B731" t="str">
            <v>VAR_ncap</v>
          </cell>
          <cell r="C731" t="str">
            <v>-</v>
          </cell>
          <cell r="G731">
            <v>1.01149787284469E-4</v>
          </cell>
          <cell r="H731">
            <v>1.54305344231914E-4</v>
          </cell>
          <cell r="I731">
            <v>1.3163697573031501E-4</v>
          </cell>
        </row>
        <row r="732">
          <cell r="A732" t="str">
            <v>T_TW-FCLH2O-S1</v>
          </cell>
          <cell r="B732" t="str">
            <v>VAR_cap</v>
          </cell>
          <cell r="C732" t="str">
            <v>-</v>
          </cell>
          <cell r="G732">
            <v>1.01149787284469E-4</v>
          </cell>
          <cell r="H732">
            <v>3.3406409739901839E-4</v>
          </cell>
          <cell r="I732">
            <v>2.3738810042089347E-4</v>
          </cell>
        </row>
        <row r="733">
          <cell r="A733" t="str">
            <v>D-T-ELC-TW_Bat_S1</v>
          </cell>
          <cell r="B733" t="str">
            <v>VAR_fout</v>
          </cell>
          <cell r="C733" t="str">
            <v>T-ELC-TWSTGin_S1</v>
          </cell>
          <cell r="D733">
            <v>6.3012119691875132E-2</v>
          </cell>
          <cell r="E733">
            <v>6.3525783980250744E-2</v>
          </cell>
          <cell r="F733">
            <v>6.3582695371894635E-2</v>
          </cell>
          <cell r="G733">
            <v>4.821622366404886E-2</v>
          </cell>
          <cell r="H733">
            <v>6.5589467803154489E-3</v>
          </cell>
          <cell r="I733">
            <v>0.12345037095645964</v>
          </cell>
        </row>
        <row r="734">
          <cell r="A734" t="str">
            <v>D-T-ELC-TW_Bat_S1</v>
          </cell>
          <cell r="B734" t="str">
            <v>VAR_fin</v>
          </cell>
          <cell r="C734" t="str">
            <v>TELC</v>
          </cell>
          <cell r="D734">
            <v>6.3012119691875132E-2</v>
          </cell>
          <cell r="E734">
            <v>6.3525783980250744E-2</v>
          </cell>
          <cell r="F734">
            <v>6.3582695371894635E-2</v>
          </cell>
          <cell r="G734">
            <v>4.821622366404886E-2</v>
          </cell>
          <cell r="H734">
            <v>6.5589467803154489E-3</v>
          </cell>
          <cell r="I734">
            <v>0.12345037095645964</v>
          </cell>
        </row>
        <row r="735">
          <cell r="A735" t="str">
            <v>D-T-ELC-TW_Bat_S1</v>
          </cell>
          <cell r="B735" t="str">
            <v>VAR_ncap</v>
          </cell>
          <cell r="C735" t="str">
            <v>-</v>
          </cell>
          <cell r="D735">
            <v>6.6634609435712398E-3</v>
          </cell>
          <cell r="E735">
            <v>5.26362748822096E-5</v>
          </cell>
          <cell r="F735">
            <v>6.4946036933697098E-6</v>
          </cell>
          <cell r="G735">
            <v>1.69073026291198E-4</v>
          </cell>
          <cell r="H735">
            <v>1.73492926862173E-4</v>
          </cell>
          <cell r="I735">
            <v>1.28760903371886E-2</v>
          </cell>
        </row>
        <row r="736">
          <cell r="A736" t="str">
            <v>D-T-ELC-TW_Bat_S1</v>
          </cell>
          <cell r="B736" t="str">
            <v>VAR_cap</v>
          </cell>
          <cell r="C736" t="str">
            <v>-</v>
          </cell>
          <cell r="D736">
            <v>6.6634609435712398E-3</v>
          </cell>
          <cell r="E736">
            <v>6.7160972184534496E-3</v>
          </cell>
          <cell r="F736">
            <v>6.7225918221468202E-3</v>
          </cell>
          <cell r="G736">
            <v>5.0968625947361004E-3</v>
          </cell>
          <cell r="H736">
            <v>6.9460081048037896E-4</v>
          </cell>
          <cell r="I736">
            <v>1.30492911922621E-2</v>
          </cell>
        </row>
        <row r="737">
          <cell r="A737" t="str">
            <v>T_C-FC-H2O-S3</v>
          </cell>
          <cell r="B737" t="str">
            <v>VAR_fout</v>
          </cell>
          <cell r="C737" t="str">
            <v>TPCAR</v>
          </cell>
          <cell r="D737">
            <v>5.7280619370811533E-4</v>
          </cell>
          <cell r="E737">
            <v>1.6546300493534771E-3</v>
          </cell>
          <cell r="F737">
            <v>1.6617085306380684E-3</v>
          </cell>
          <cell r="G737">
            <v>1.5662419658352337E-3</v>
          </cell>
          <cell r="H737">
            <v>7.3020894112732113E-4</v>
          </cell>
          <cell r="I737">
            <v>5.2729942831651014E-4</v>
          </cell>
        </row>
        <row r="738">
          <cell r="A738" t="str">
            <v>T_C-FC-H2O-S3</v>
          </cell>
          <cell r="B738" t="str">
            <v>VAR_fin</v>
          </cell>
          <cell r="C738" t="str">
            <v>TH2O</v>
          </cell>
          <cell r="D738">
            <v>6.9012372651893828E-4</v>
          </cell>
          <cell r="E738">
            <v>1.9935179965109026E-3</v>
          </cell>
          <cell r="F738">
            <v>2.0020462350946954E-3</v>
          </cell>
          <cell r="G738">
            <v>1.8870269804438526E-3</v>
          </cell>
          <cell r="H738">
            <v>8.0442215475179976E-4</v>
          </cell>
          <cell r="I738">
            <v>5.3404671293634683E-4</v>
          </cell>
        </row>
        <row r="739">
          <cell r="A739" t="str">
            <v>T_C-FC-H2O-S3</v>
          </cell>
          <cell r="B739" t="str">
            <v>VAR_ncap</v>
          </cell>
          <cell r="C739" t="str">
            <v>-</v>
          </cell>
          <cell r="E739">
            <v>7.5823156727757199E-6</v>
          </cell>
          <cell r="F739">
            <v>1.01969470411841E-5</v>
          </cell>
          <cell r="G739">
            <v>1.16370713489089E-5</v>
          </cell>
          <cell r="H739">
            <v>3.0037463221785301E-5</v>
          </cell>
          <cell r="I739">
            <v>2.2576431406594901E-5</v>
          </cell>
        </row>
        <row r="740">
          <cell r="A740" t="str">
            <v>T_C-FC-H2O-S3</v>
          </cell>
          <cell r="B740" t="str">
            <v>VAR_cap</v>
          </cell>
          <cell r="C740" t="str">
            <v>-</v>
          </cell>
          <cell r="D740">
            <v>5.3418477471115694E-5</v>
          </cell>
          <cell r="E740">
            <v>1.1553900226492629E-4</v>
          </cell>
          <cell r="F740">
            <v>1.19972242142476E-4</v>
          </cell>
          <cell r="G740">
            <v>1.1161819991871469E-4</v>
          </cell>
          <cell r="H740">
            <v>5.6517882560747507E-5</v>
          </cell>
          <cell r="I740">
            <v>4.1019767973354507E-5</v>
          </cell>
        </row>
        <row r="741">
          <cell r="A741" t="str">
            <v>T_B_c-ICEDSL-S3</v>
          </cell>
          <cell r="B741" t="str">
            <v>VAR_fout</v>
          </cell>
          <cell r="C741" t="str">
            <v>CO2_T</v>
          </cell>
          <cell r="D741">
            <v>11.862626548824878</v>
          </cell>
          <cell r="E741">
            <v>9.4084356108826963</v>
          </cell>
          <cell r="F741">
            <v>11.595003685988713</v>
          </cell>
        </row>
        <row r="742">
          <cell r="A742" t="str">
            <v>T_B_c-ICEDSL-S3</v>
          </cell>
          <cell r="B742" t="str">
            <v>VAR_fout</v>
          </cell>
          <cell r="C742" t="str">
            <v>TPBSc</v>
          </cell>
          <cell r="D742">
            <v>9.3783575605061592E-3</v>
          </cell>
          <cell r="E742">
            <v>7.4672820380005042E-3</v>
          </cell>
          <cell r="F742">
            <v>9.1980712364166991E-3</v>
          </cell>
        </row>
        <row r="743">
          <cell r="A743" t="str">
            <v>T_B_c-ICEDSL-S3</v>
          </cell>
          <cell r="B743" t="str">
            <v>VAR_fin</v>
          </cell>
          <cell r="C743" t="str">
            <v>TDSL</v>
          </cell>
          <cell r="D743">
            <v>0.16183665141643755</v>
          </cell>
          <cell r="E743">
            <v>0.12835519250863159</v>
          </cell>
          <cell r="F743">
            <v>0.15818558916764974</v>
          </cell>
        </row>
        <row r="744">
          <cell r="A744" t="str">
            <v>T_B_c-ICEDSL-S3</v>
          </cell>
          <cell r="B744" t="str">
            <v>VAR_ncap</v>
          </cell>
          <cell r="C744" t="str">
            <v>-</v>
          </cell>
          <cell r="E744">
            <v>3.6284919746559701E-7</v>
          </cell>
          <cell r="F744">
            <v>3.7980736558319101E-7</v>
          </cell>
        </row>
        <row r="745">
          <cell r="A745" t="str">
            <v>T_B_c-ICEDSL-S3</v>
          </cell>
          <cell r="B745" t="str">
            <v>VAR_cap</v>
          </cell>
          <cell r="C745" t="str">
            <v>-</v>
          </cell>
          <cell r="D745">
            <v>2.0453697631283088E-4</v>
          </cell>
          <cell r="E745">
            <v>1.9973772062691178E-4</v>
          </cell>
          <cell r="F745">
            <v>2.0013061569455659E-4</v>
          </cell>
          <cell r="G745">
            <v>-9.6614906624093583E-10</v>
          </cell>
          <cell r="H745">
            <v>-1.2892333693317998E-9</v>
          </cell>
        </row>
        <row r="746">
          <cell r="A746" t="str">
            <v>T_TW-FCLH2O-S2</v>
          </cell>
          <cell r="B746" t="str">
            <v>VAR_fout</v>
          </cell>
          <cell r="C746" t="str">
            <v>TPTWL</v>
          </cell>
          <cell r="G746">
            <v>1.2414073806259735E-4</v>
          </cell>
          <cell r="H746">
            <v>3.7212002694515627E-4</v>
          </cell>
          <cell r="I746">
            <v>2.5864139226087953E-4</v>
          </cell>
        </row>
        <row r="747">
          <cell r="A747" t="str">
            <v>T_TW-FCLH2O-S2</v>
          </cell>
          <cell r="B747" t="str">
            <v>VAR_fin</v>
          </cell>
          <cell r="C747" t="str">
            <v>TH2O</v>
          </cell>
          <cell r="G747">
            <v>4.5962953989229069E-5</v>
          </cell>
          <cell r="H747">
            <v>1.3533592760186551E-4</v>
          </cell>
          <cell r="I747">
            <v>9.2153763777671043E-5</v>
          </cell>
        </row>
        <row r="748">
          <cell r="A748" t="str">
            <v>T_TW-FCLH2O-S2</v>
          </cell>
          <cell r="B748" t="str">
            <v>VAR_ncap</v>
          </cell>
          <cell r="C748" t="str">
            <v>-</v>
          </cell>
          <cell r="G748">
            <v>4.6928801560546699E-5</v>
          </cell>
          <cell r="H748">
            <v>5.4610037341189799E-5</v>
          </cell>
          <cell r="I748">
            <v>4.32688240827197E-5</v>
          </cell>
        </row>
        <row r="749">
          <cell r="A749" t="str">
            <v>T_TW-FCLH2O-S2</v>
          </cell>
          <cell r="B749" t="str">
            <v>VAR_cap</v>
          </cell>
          <cell r="C749" t="str">
            <v>-</v>
          </cell>
          <cell r="G749">
            <v>4.6928801560546699E-5</v>
          </cell>
          <cell r="H749">
            <v>1.4387083005080372E-4</v>
          </cell>
          <cell r="I749">
            <v>1.0112978314407461E-4</v>
          </cell>
        </row>
        <row r="750">
          <cell r="A750" t="str">
            <v>D-T-ELC-TW_Bat_S2</v>
          </cell>
          <cell r="B750" t="str">
            <v>VAR_fout</v>
          </cell>
          <cell r="C750" t="str">
            <v>T-ELC-TWSTGin_S2</v>
          </cell>
          <cell r="D750">
            <v>3.8742957171113032E-4</v>
          </cell>
          <cell r="E750">
            <v>4.6500386439092561E-4</v>
          </cell>
          <cell r="F750">
            <v>5.0006504138379608E-4</v>
          </cell>
          <cell r="G750">
            <v>4.2045999507549755E-3</v>
          </cell>
          <cell r="H750">
            <v>5.3795684737065232E-3</v>
          </cell>
          <cell r="I750">
            <v>3.93243101231356E-3</v>
          </cell>
        </row>
        <row r="751">
          <cell r="A751" t="str">
            <v>D-T-ELC-TW_Bat_S2</v>
          </cell>
          <cell r="B751" t="str">
            <v>VAR_fin</v>
          </cell>
          <cell r="C751" t="str">
            <v>TELC</v>
          </cell>
          <cell r="D751">
            <v>3.8742957171113032E-4</v>
          </cell>
          <cell r="E751">
            <v>4.6500386439092561E-4</v>
          </cell>
          <cell r="F751">
            <v>5.0006504138379608E-4</v>
          </cell>
          <cell r="G751">
            <v>4.2045999507549755E-3</v>
          </cell>
          <cell r="H751">
            <v>5.3795684737065232E-3</v>
          </cell>
          <cell r="I751">
            <v>3.93243101231356E-3</v>
          </cell>
        </row>
        <row r="752">
          <cell r="A752" t="str">
            <v>D-T-ELC-TW_Bat_S2</v>
          </cell>
          <cell r="B752" t="str">
            <v>VAR_ncap</v>
          </cell>
          <cell r="C752" t="str">
            <v>-</v>
          </cell>
          <cell r="D752">
            <v>1.28641969913097E-4</v>
          </cell>
          <cell r="E752">
            <v>8.1042432738145605E-7</v>
          </cell>
          <cell r="F752">
            <v>8.1664602462112996E-6</v>
          </cell>
          <cell r="G752">
            <v>3.0736554278313098E-4</v>
          </cell>
          <cell r="H752">
            <v>8.3068493389259805E-6</v>
          </cell>
          <cell r="I752">
            <v>2.7309887054807503E-4</v>
          </cell>
        </row>
        <row r="753">
          <cell r="A753" t="str">
            <v>D-T-ELC-TW_Bat_S2</v>
          </cell>
          <cell r="B753" t="str">
            <v>VAR_cap</v>
          </cell>
          <cell r="C753" t="str">
            <v>-</v>
          </cell>
          <cell r="D753">
            <v>1.28641969913097E-4</v>
          </cell>
          <cell r="E753">
            <v>1.29452394240478E-4</v>
          </cell>
          <cell r="F753">
            <v>1.37618854486689E-4</v>
          </cell>
          <cell r="G753">
            <v>4.4498439726982001E-4</v>
          </cell>
          <cell r="H753">
            <v>5.7025721473771905E-4</v>
          </cell>
          <cell r="I753">
            <v>4.1641332121189901E-4</v>
          </cell>
        </row>
        <row r="754">
          <cell r="A754" t="str">
            <v>T_C-FC-H2O-S4</v>
          </cell>
          <cell r="B754" t="str">
            <v>VAR_fout</v>
          </cell>
          <cell r="C754" t="str">
            <v>TPCAR</v>
          </cell>
          <cell r="E754">
            <v>1.3176995750643471E-4</v>
          </cell>
          <cell r="F754">
            <v>2.8526648581524155E-4</v>
          </cell>
          <cell r="G754">
            <v>4.6159999169823892E-4</v>
          </cell>
          <cell r="H754">
            <v>3.0258117891631101E-3</v>
          </cell>
          <cell r="I754">
            <v>0.60432595917889076</v>
          </cell>
        </row>
        <row r="755">
          <cell r="A755" t="str">
            <v>T_C-FC-H2O-S4</v>
          </cell>
          <cell r="B755" t="str">
            <v>VAR_fin</v>
          </cell>
          <cell r="C755" t="str">
            <v>TH2O</v>
          </cell>
          <cell r="E755">
            <v>1.5747775711616465E-4</v>
          </cell>
          <cell r="F755">
            <v>3.409208534077333E-4</v>
          </cell>
          <cell r="G755">
            <v>5.516563316333256E-4</v>
          </cell>
          <cell r="H755">
            <v>3.2575161847292027E-3</v>
          </cell>
          <cell r="I755">
            <v>0.56990615842050119</v>
          </cell>
        </row>
        <row r="756">
          <cell r="A756" t="str">
            <v>T_C-FC-H2O-S4</v>
          </cell>
          <cell r="B756" t="str">
            <v>VAR_ncap</v>
          </cell>
          <cell r="C756" t="str">
            <v>-</v>
          </cell>
          <cell r="E756">
            <v>1.10816816125801E-5</v>
          </cell>
          <cell r="F756">
            <v>1.5252264815813599E-5</v>
          </cell>
          <cell r="G756">
            <v>1.8201853930089401E-5</v>
          </cell>
          <cell r="H756">
            <v>2.51571720998044E-4</v>
          </cell>
          <cell r="I756">
            <v>7.0641263932204906E-2</v>
          </cell>
        </row>
        <row r="757">
          <cell r="A757" t="str">
            <v>T_C-FC-H2O-S4</v>
          </cell>
          <cell r="B757" t="str">
            <v>VAR_cap</v>
          </cell>
          <cell r="C757" t="str">
            <v>-</v>
          </cell>
          <cell r="E757">
            <v>1.0934149512846899E-5</v>
          </cell>
          <cell r="F757">
            <v>2.5343267365365658E-5</v>
          </cell>
          <cell r="G757">
            <v>3.8764165947545998E-5</v>
          </cell>
          <cell r="H757">
            <v>3.0117797737010848E-4</v>
          </cell>
          <cell r="I757">
            <v>6.043235512216414E-2</v>
          </cell>
        </row>
        <row r="758">
          <cell r="A758" t="str">
            <v>T_B_c-ICEDSL-S4</v>
          </cell>
          <cell r="B758" t="str">
            <v>VAR_fout</v>
          </cell>
          <cell r="C758" t="str">
            <v>CO2_T</v>
          </cell>
          <cell r="D758">
            <v>1.0445975306788167</v>
          </cell>
          <cell r="E758">
            <v>2.8962034194201861E-2</v>
          </cell>
          <cell r="F758">
            <v>3.6133011694093581E-2</v>
          </cell>
        </row>
        <row r="759">
          <cell r="A759" t="str">
            <v>T_B_c-ICEDSL-S4</v>
          </cell>
          <cell r="B759" t="str">
            <v>VAR_fout</v>
          </cell>
          <cell r="C759" t="str">
            <v>TPBSc</v>
          </cell>
          <cell r="D759">
            <v>5.5075060064494949E-4</v>
          </cell>
          <cell r="E759">
            <v>1.5389319465089569E-5</v>
          </cell>
          <cell r="F759">
            <v>1.9363966391680134E-5</v>
          </cell>
        </row>
        <row r="760">
          <cell r="A760" t="str">
            <v>T_B_c-ICEDSL-S4</v>
          </cell>
          <cell r="B760" t="str">
            <v>VAR_fin</v>
          </cell>
          <cell r="C760" t="str">
            <v>TDSL</v>
          </cell>
          <cell r="D760">
            <v>1.4250989504485896E-2</v>
          </cell>
          <cell r="E760">
            <v>3.9511642829743321E-4</v>
          </cell>
          <cell r="F760">
            <v>4.9294695353470082E-4</v>
          </cell>
        </row>
        <row r="761">
          <cell r="A761" t="str">
            <v>T_B_c-ICEDSL-S4</v>
          </cell>
          <cell r="B761" t="str">
            <v>VAR_ncap</v>
          </cell>
          <cell r="C761" t="str">
            <v>-</v>
          </cell>
          <cell r="E761">
            <v>6.4056181595256304E-8</v>
          </cell>
          <cell r="F761">
            <v>7.0242938356754199E-8</v>
          </cell>
        </row>
        <row r="762">
          <cell r="A762" t="str">
            <v>T_B_c-ICEDSL-S4</v>
          </cell>
          <cell r="B762" t="str">
            <v>VAR_cap</v>
          </cell>
          <cell r="C762" t="str">
            <v>-</v>
          </cell>
          <cell r="D762">
            <v>1.2308384747417704E-5</v>
          </cell>
          <cell r="E762">
            <v>4.7041064276605494E-7</v>
          </cell>
          <cell r="F762">
            <v>5.2653217776060774E-7</v>
          </cell>
          <cell r="G762">
            <v>-4.6446476154170714E-9</v>
          </cell>
          <cell r="H762">
            <v>-1.7110939334062E-8</v>
          </cell>
        </row>
        <row r="763">
          <cell r="A763" t="str">
            <v>D-T-ELC-HGV</v>
          </cell>
          <cell r="B763" t="str">
            <v>VAR_fout</v>
          </cell>
          <cell r="C763" t="str">
            <v>T-ELC-HGV_BatSTGin</v>
          </cell>
          <cell r="D763">
            <v>3.6960868900123476E-3</v>
          </cell>
          <cell r="E763">
            <v>4.135355475433769E-3</v>
          </cell>
          <cell r="F763">
            <v>5.0901284169282144E-3</v>
          </cell>
          <cell r="G763">
            <v>7.5480949488911158E-3</v>
          </cell>
          <cell r="H763">
            <v>2.4894146741430121</v>
          </cell>
          <cell r="I763">
            <v>7.6623034611418355</v>
          </cell>
        </row>
        <row r="764">
          <cell r="A764" t="str">
            <v>D-T-ELC-HGV</v>
          </cell>
          <cell r="B764" t="str">
            <v>VAR_fin</v>
          </cell>
          <cell r="C764" t="str">
            <v>TELC</v>
          </cell>
          <cell r="D764">
            <v>3.6960868900123476E-3</v>
          </cell>
          <cell r="E764">
            <v>4.135355475433769E-3</v>
          </cell>
          <cell r="F764">
            <v>5.0901284169282144E-3</v>
          </cell>
          <cell r="G764">
            <v>7.5480949488911158E-3</v>
          </cell>
          <cell r="H764">
            <v>2.4894146741430121</v>
          </cell>
          <cell r="I764">
            <v>7.6623034611418355</v>
          </cell>
        </row>
        <row r="765">
          <cell r="A765" t="str">
            <v>D-T-ELC-HGV</v>
          </cell>
          <cell r="B765" t="str">
            <v>VAR_ncap</v>
          </cell>
          <cell r="C765" t="str">
            <v>-</v>
          </cell>
          <cell r="D765">
            <v>5.4103469887240203E-4</v>
          </cell>
          <cell r="E765">
            <v>1.5816624575773101E-4</v>
          </cell>
          <cell r="F765">
            <v>1.5600102099422899E-4</v>
          </cell>
          <cell r="G765">
            <v>6.4819053601182801E-4</v>
          </cell>
          <cell r="H765">
            <v>0.186211999254741</v>
          </cell>
          <cell r="I765">
            <v>0.93240959372080301</v>
          </cell>
        </row>
        <row r="766">
          <cell r="A766" t="str">
            <v>D-T-ELC-HGV</v>
          </cell>
          <cell r="B766" t="str">
            <v>VAR_cap</v>
          </cell>
          <cell r="C766" t="str">
            <v>-</v>
          </cell>
          <cell r="D766">
            <v>5.4103469887240203E-4</v>
          </cell>
          <cell r="E766">
            <v>6.9920094463013299E-4</v>
          </cell>
          <cell r="F766">
            <v>8.5520196562436203E-4</v>
          </cell>
          <cell r="G766">
            <v>8.9348118867621203E-4</v>
          </cell>
          <cell r="H766">
            <v>0.31007261919266499</v>
          </cell>
          <cell r="I766">
            <v>0.96508768353708096</v>
          </cell>
        </row>
        <row r="767">
          <cell r="A767" t="str">
            <v>T_TW-FCLH2O-S3</v>
          </cell>
          <cell r="B767" t="str">
            <v>VAR_fout</v>
          </cell>
          <cell r="C767" t="str">
            <v>TPTWL</v>
          </cell>
          <cell r="G767">
            <v>6.8028481147456614E-5</v>
          </cell>
          <cell r="H767">
            <v>2.0232664579191933E-4</v>
          </cell>
          <cell r="I767">
            <v>1.885908902356182E-4</v>
          </cell>
        </row>
        <row r="768">
          <cell r="A768" t="str">
            <v>T_TW-FCLH2O-S3</v>
          </cell>
          <cell r="B768" t="str">
            <v>VAR_fin</v>
          </cell>
          <cell r="C768" t="str">
            <v>TH2O</v>
          </cell>
          <cell r="G768">
            <v>3.8638308434898761E-5</v>
          </cell>
          <cell r="H768">
            <v>1.1319189476400446E-4</v>
          </cell>
          <cell r="I768">
            <v>1.035833362786183E-4</v>
          </cell>
        </row>
        <row r="769">
          <cell r="A769" t="str">
            <v>T_TW-FCLH2O-S3</v>
          </cell>
          <cell r="B769" t="str">
            <v>VAR_ncap</v>
          </cell>
          <cell r="C769" t="str">
            <v>-</v>
          </cell>
          <cell r="G769">
            <v>2.5899421261962299E-5</v>
          </cell>
          <cell r="H769">
            <v>2.3085520381271501E-5</v>
          </cell>
          <cell r="I769">
            <v>2.20690392530298E-5</v>
          </cell>
        </row>
        <row r="770">
          <cell r="A770" t="str">
            <v>T_TW-FCLH2O-S3</v>
          </cell>
          <cell r="B770" t="str">
            <v>VAR_cap</v>
          </cell>
          <cell r="C770" t="str">
            <v>-</v>
          </cell>
          <cell r="G770">
            <v>2.5899421261962299E-5</v>
          </cell>
          <cell r="H770">
            <v>7.604469756238663E-5</v>
          </cell>
          <cell r="I770">
            <v>7.3538257056816452E-5</v>
          </cell>
        </row>
        <row r="771">
          <cell r="A771" t="str">
            <v>D-T-ELC-TW_Bat_S3</v>
          </cell>
          <cell r="B771" t="str">
            <v>VAR_fout</v>
          </cell>
          <cell r="C771" t="str">
            <v>T-ELC-TWSTGin_S3</v>
          </cell>
          <cell r="D771">
            <v>9.0947880685229626E-5</v>
          </cell>
          <cell r="E771">
            <v>1.5691525186543236E-4</v>
          </cell>
          <cell r="F771">
            <v>1.9559124635305675E-4</v>
          </cell>
          <cell r="G771">
            <v>4.802845490238023E-3</v>
          </cell>
          <cell r="H771">
            <v>9.6208985523153993E-3</v>
          </cell>
          <cell r="I771">
            <v>5.9548178017515838E-3</v>
          </cell>
        </row>
        <row r="772">
          <cell r="A772" t="str">
            <v>D-T-ELC-TW_Bat_S3</v>
          </cell>
          <cell r="B772" t="str">
            <v>VAR_fin</v>
          </cell>
          <cell r="C772" t="str">
            <v>TELC</v>
          </cell>
          <cell r="D772">
            <v>9.0947880685229626E-5</v>
          </cell>
          <cell r="E772">
            <v>1.5691525186543236E-4</v>
          </cell>
          <cell r="F772">
            <v>1.9559124635305675E-4</v>
          </cell>
          <cell r="G772">
            <v>4.802845490238023E-3</v>
          </cell>
          <cell r="H772">
            <v>9.6208985523153993E-3</v>
          </cell>
          <cell r="I772">
            <v>5.9548178017515838E-3</v>
          </cell>
        </row>
        <row r="773">
          <cell r="A773" t="str">
            <v>D-T-ELC-TW_Bat_S3</v>
          </cell>
          <cell r="B773" t="str">
            <v>VAR_ncap</v>
          </cell>
          <cell r="C773" t="str">
            <v>-</v>
          </cell>
          <cell r="D773">
            <v>1.4513012244818599E-4</v>
          </cell>
          <cell r="E773">
            <v>9.5026872054176605E-7</v>
          </cell>
          <cell r="F773">
            <v>3.2259861878560501E-6</v>
          </cell>
          <cell r="G773">
            <v>3.5903904256679299E-4</v>
          </cell>
          <cell r="H773">
            <v>2.1260814320710099E-5</v>
          </cell>
          <cell r="I773">
            <v>5.0643371237054101E-5</v>
          </cell>
        </row>
        <row r="774">
          <cell r="A774" t="str">
            <v>D-T-ELC-TW_Bat_S3</v>
          </cell>
          <cell r="B774" t="str">
            <v>VAR_cap</v>
          </cell>
          <cell r="C774" t="str">
            <v>-</v>
          </cell>
          <cell r="D774">
            <v>1.4513012244818599E-4</v>
          </cell>
          <cell r="E774">
            <v>1.46080391168727E-4</v>
          </cell>
          <cell r="F774">
            <v>1.4930637735658401E-4</v>
          </cell>
          <cell r="G774">
            <v>5.0834541992337602E-4</v>
          </cell>
          <cell r="H774">
            <v>1.01834653594432E-3</v>
          </cell>
          <cell r="I774">
            <v>6.3026989318571303E-4</v>
          </cell>
        </row>
        <row r="775">
          <cell r="A775" t="str">
            <v>T_TW-FCLH2O-S4</v>
          </cell>
          <cell r="B775" t="str">
            <v>VAR_fout</v>
          </cell>
          <cell r="C775" t="str">
            <v>TPTWL</v>
          </cell>
          <cell r="G775">
            <v>3.2788106141860748E-5</v>
          </cell>
          <cell r="H775">
            <v>1.0961490233735349E-4</v>
          </cell>
          <cell r="I775">
            <v>1.2533445361080327E-4</v>
          </cell>
        </row>
        <row r="776">
          <cell r="A776" t="str">
            <v>T_TW-FCLH2O-S4</v>
          </cell>
          <cell r="B776" t="str">
            <v>VAR_fin</v>
          </cell>
          <cell r="C776" t="str">
            <v>TH2O</v>
          </cell>
          <cell r="G776">
            <v>2.0990551716258298E-5</v>
          </cell>
          <cell r="H776">
            <v>6.890088464817616E-5</v>
          </cell>
          <cell r="I776">
            <v>7.7564703715229336E-5</v>
          </cell>
        </row>
        <row r="777">
          <cell r="A777" t="str">
            <v>T_TW-FCLH2O-S4</v>
          </cell>
          <cell r="B777" t="str">
            <v>VAR_ncap</v>
          </cell>
          <cell r="C777" t="str">
            <v>-</v>
          </cell>
          <cell r="G777">
            <v>1.23914825790944E-5</v>
          </cell>
          <cell r="H777">
            <v>1.3405549462017101E-5</v>
          </cell>
          <cell r="I777">
            <v>1.25031408434179E-5</v>
          </cell>
        </row>
        <row r="778">
          <cell r="A778" t="str">
            <v>T_TW-FCLH2O-S4</v>
          </cell>
          <cell r="B778" t="str">
            <v>VAR_cap</v>
          </cell>
          <cell r="C778" t="str">
            <v>-</v>
          </cell>
          <cell r="G778">
            <v>1.23914825790944E-5</v>
          </cell>
          <cell r="H778">
            <v>3.9934177571042527E-5</v>
          </cell>
          <cell r="I778">
            <v>4.8214063261210482E-5</v>
          </cell>
        </row>
        <row r="779">
          <cell r="A779" t="str">
            <v>D-T-ELC-TW_Bat_S4</v>
          </cell>
          <cell r="B779" t="str">
            <v>VAR_fout</v>
          </cell>
          <cell r="C779" t="str">
            <v>T-ELC-TWSTGin_S4</v>
          </cell>
          <cell r="D779">
            <v>7.8827014226481846E-5</v>
          </cell>
          <cell r="E779">
            <v>1.2569843403280066E-4</v>
          </cell>
          <cell r="F779">
            <v>1.7798517460230914E-4</v>
          </cell>
          <cell r="G779">
            <v>4.9257873736088574E-3</v>
          </cell>
          <cell r="H779">
            <v>1.0831311067182227E-2</v>
          </cell>
          <cell r="I779">
            <v>9.2561719710808378E-3</v>
          </cell>
        </row>
        <row r="780">
          <cell r="A780" t="str">
            <v>D-T-ELC-TW_Bat_S4</v>
          </cell>
          <cell r="B780" t="str">
            <v>VAR_fin</v>
          </cell>
          <cell r="C780" t="str">
            <v>TELC</v>
          </cell>
          <cell r="D780">
            <v>7.8827014226481846E-5</v>
          </cell>
          <cell r="E780">
            <v>1.2569843403280066E-4</v>
          </cell>
          <cell r="F780">
            <v>1.7798517460230914E-4</v>
          </cell>
          <cell r="G780">
            <v>4.9257873736088574E-3</v>
          </cell>
          <cell r="H780">
            <v>1.0831311067182227E-2</v>
          </cell>
          <cell r="I780">
            <v>9.2561719710808378E-3</v>
          </cell>
        </row>
        <row r="781">
          <cell r="A781" t="str">
            <v>D-T-ELC-TW_Bat_S4</v>
          </cell>
          <cell r="B781" t="str">
            <v>VAR_ncap</v>
          </cell>
          <cell r="C781" t="str">
            <v>-</v>
          </cell>
          <cell r="D781">
            <v>1.55070642881077E-4</v>
          </cell>
          <cell r="E781">
            <v>9.8495051148360101E-7</v>
          </cell>
          <cell r="F781">
            <v>2.4515345756441901E-6</v>
          </cell>
          <cell r="G781">
            <v>3.6285747183854199E-4</v>
          </cell>
          <cell r="H781">
            <v>2.52999346952557E-5</v>
          </cell>
          <cell r="I781">
            <v>1.0204899399366699E-4</v>
          </cell>
        </row>
        <row r="782">
          <cell r="A782" t="str">
            <v>D-T-ELC-TW_Bat_S4</v>
          </cell>
          <cell r="B782" t="str">
            <v>VAR_cap</v>
          </cell>
          <cell r="C782" t="str">
            <v>-</v>
          </cell>
          <cell r="D782">
            <v>1.55070642881077E-4</v>
          </cell>
          <cell r="E782">
            <v>1.56055593392561E-4</v>
          </cell>
          <cell r="F782">
            <v>1.5850712796820499E-4</v>
          </cell>
          <cell r="G782">
            <v>5.2136459980674699E-4</v>
          </cell>
          <cell r="H782">
            <v>1.14667966512324E-3</v>
          </cell>
          <cell r="I782">
            <v>9.7923217519752903E-4</v>
          </cell>
        </row>
        <row r="783">
          <cell r="A783" t="str">
            <v>T_B_u-ICENGA-S1</v>
          </cell>
          <cell r="B783" t="str">
            <v>VAR_fout</v>
          </cell>
          <cell r="C783" t="str">
            <v>CO2_T</v>
          </cell>
          <cell r="E783">
            <v>0.106324388056074</v>
          </cell>
          <cell r="F783">
            <v>0.1526614341627511</v>
          </cell>
          <cell r="G783">
            <v>7.4520383759279601E-5</v>
          </cell>
          <cell r="H783">
            <v>3.5365100137960402E-4</v>
          </cell>
          <cell r="I783">
            <v>7.9605509123714698E-5</v>
          </cell>
        </row>
        <row r="784">
          <cell r="A784" t="str">
            <v>T_B_u-ICENGA-S1</v>
          </cell>
          <cell r="B784" t="str">
            <v>VAR_fout</v>
          </cell>
          <cell r="C784" t="str">
            <v>TPBSu</v>
          </cell>
          <cell r="E784">
            <v>2.2666987072050425E-4</v>
          </cell>
          <cell r="F784">
            <v>3.3009846842357344E-4</v>
          </cell>
          <cell r="G784">
            <v>1.6614028602263199E-7</v>
          </cell>
          <cell r="H784">
            <v>9.588073366075119E-7</v>
          </cell>
          <cell r="I784">
            <v>2.1582392212786753E-7</v>
          </cell>
        </row>
        <row r="785">
          <cell r="A785" t="str">
            <v>T_B_u-ICENGA-S1</v>
          </cell>
          <cell r="B785" t="str">
            <v>VAR_fin</v>
          </cell>
          <cell r="C785" t="str">
            <v>TNGA</v>
          </cell>
          <cell r="E785">
            <v>1.8851841853913867E-3</v>
          </cell>
          <cell r="F785">
            <v>2.7067630170700533E-3</v>
          </cell>
          <cell r="G785">
            <v>1.3212833999872287E-6</v>
          </cell>
          <cell r="H785">
            <v>6.2704078258794972E-6</v>
          </cell>
          <cell r="I785">
            <v>1.4114451972289844E-6</v>
          </cell>
        </row>
        <row r="786">
          <cell r="A786" t="str">
            <v>T_B_u-ICENGA-S1</v>
          </cell>
          <cell r="B786" t="str">
            <v>VAR_ncap</v>
          </cell>
          <cell r="C786" t="str">
            <v>-</v>
          </cell>
          <cell r="E786">
            <v>4.6249648172596803E-6</v>
          </cell>
          <cell r="F786">
            <v>1.7789293101116E-6</v>
          </cell>
          <cell r="G786">
            <v>1.15410412563767E-8</v>
          </cell>
          <cell r="H786">
            <v>3.2788148142774302E-8</v>
          </cell>
        </row>
        <row r="787">
          <cell r="A787" t="str">
            <v>T_B_u-ICENGA-S1</v>
          </cell>
          <cell r="B787" t="str">
            <v>VAR_cap</v>
          </cell>
          <cell r="C787" t="str">
            <v>-</v>
          </cell>
          <cell r="E787">
            <v>4.6249648172596803E-6</v>
          </cell>
          <cell r="F787">
            <v>6.4038941273712801E-6</v>
          </cell>
          <cell r="G787">
            <v>3.4419442035849876E-8</v>
          </cell>
          <cell r="H787">
            <v>3.2425701990883099E-8</v>
          </cell>
          <cell r="I787">
            <v>2.1465630715807099E-8</v>
          </cell>
        </row>
        <row r="788">
          <cell r="A788" t="str">
            <v>T_B_u-ICENGA-S2</v>
          </cell>
          <cell r="B788" t="str">
            <v>VAR_fout</v>
          </cell>
          <cell r="C788" t="str">
            <v>CO2_T</v>
          </cell>
          <cell r="E788">
            <v>0.16262824712459201</v>
          </cell>
          <cell r="F788">
            <v>0.26571794419765904</v>
          </cell>
          <cell r="H788">
            <v>1.4556024678960699E-4</v>
          </cell>
        </row>
        <row r="789">
          <cell r="A789" t="str">
            <v>T_B_u-ICENGA-S2</v>
          </cell>
          <cell r="B789" t="str">
            <v>VAR_fout</v>
          </cell>
          <cell r="C789" t="str">
            <v>TPBSu</v>
          </cell>
          <cell r="E789">
            <v>2.4509021536940178E-4</v>
          </cell>
          <cell r="F789">
            <v>4.0838729694278727E-4</v>
          </cell>
          <cell r="H789">
            <v>2.7590841556934469E-7</v>
          </cell>
        </row>
        <row r="790">
          <cell r="A790" t="str">
            <v>T_B_u-ICENGA-S2</v>
          </cell>
          <cell r="B790" t="str">
            <v>VAR_fin</v>
          </cell>
          <cell r="C790" t="str">
            <v>TNGA</v>
          </cell>
          <cell r="E790">
            <v>2.8834795589466672E-3</v>
          </cell>
          <cell r="F790">
            <v>4.7113110673343787E-3</v>
          </cell>
          <cell r="H790">
            <v>2.580855439532043E-6</v>
          </cell>
        </row>
        <row r="791">
          <cell r="A791" t="str">
            <v>T_B_u-ICENGA-S2</v>
          </cell>
          <cell r="B791" t="str">
            <v>VAR_ncap</v>
          </cell>
          <cell r="C791" t="str">
            <v>-</v>
          </cell>
          <cell r="E791">
            <v>4.7056323054481601E-6</v>
          </cell>
          <cell r="F791">
            <v>3.0547474196274599E-6</v>
          </cell>
          <cell r="H791">
            <v>1.4040291264901E-8</v>
          </cell>
        </row>
        <row r="792">
          <cell r="A792" t="str">
            <v>T_B_u-ICENGA-S2</v>
          </cell>
          <cell r="B792" t="str">
            <v>VAR_cap</v>
          </cell>
          <cell r="C792" t="str">
            <v>-</v>
          </cell>
          <cell r="E792">
            <v>4.7056323054481601E-6</v>
          </cell>
          <cell r="F792">
            <v>7.7603797250756107E-6</v>
          </cell>
          <cell r="G792">
            <v>8.3597548980998335E-9</v>
          </cell>
          <cell r="H792">
            <v>-3.7798044080513016E-9</v>
          </cell>
          <cell r="I792">
            <v>7.04128034216016E-9</v>
          </cell>
        </row>
        <row r="793">
          <cell r="A793" t="str">
            <v>T_B_c-ICEDSLEXT</v>
          </cell>
          <cell r="B793" t="str">
            <v>VAR_fout</v>
          </cell>
          <cell r="C793" t="str">
            <v>CO2_T</v>
          </cell>
          <cell r="D793">
            <v>0.44187720957897902</v>
          </cell>
          <cell r="E793">
            <v>0.440773675578501</v>
          </cell>
          <cell r="F793">
            <v>0.43754373383994699</v>
          </cell>
        </row>
        <row r="794">
          <cell r="A794" t="str">
            <v>T_B_c-ICEDSLEXT</v>
          </cell>
          <cell r="B794" t="str">
            <v>VAR_fout</v>
          </cell>
          <cell r="C794" t="str">
            <v>TPBSc</v>
          </cell>
          <cell r="D794">
            <v>5.998347237786552E-2</v>
          </cell>
          <cell r="E794">
            <v>4.7984358064956156E-2</v>
          </cell>
          <cell r="F794">
            <v>2.9989010161597877E-2</v>
          </cell>
        </row>
        <row r="795">
          <cell r="A795" t="str">
            <v>T_B_c-ICEDSLEXT</v>
          </cell>
          <cell r="B795" t="str">
            <v>VAR_fin</v>
          </cell>
          <cell r="C795" t="str">
            <v>TDSL</v>
          </cell>
          <cell r="D795">
            <v>6.0283384662889287E-3</v>
          </cell>
          <cell r="E795">
            <v>6.0132834321759993E-3</v>
          </cell>
          <cell r="F795">
            <v>5.969218742700508E-3</v>
          </cell>
        </row>
        <row r="796">
          <cell r="A796" t="str">
            <v>T_B_c-ICEDSLEXT</v>
          </cell>
          <cell r="B796" t="str">
            <v>VAR_cap</v>
          </cell>
          <cell r="C796" t="str">
            <v>-</v>
          </cell>
          <cell r="D796">
            <v>1.30332047521267E-3</v>
          </cell>
          <cell r="E796">
            <v>1.04265638017014E-3</v>
          </cell>
          <cell r="F796">
            <v>6.5166023760633498E-4</v>
          </cell>
        </row>
        <row r="797">
          <cell r="A797" t="str">
            <v>T_B_u-ICENGA-S3</v>
          </cell>
          <cell r="B797" t="str">
            <v>VAR_fout</v>
          </cell>
          <cell r="C797" t="str">
            <v>CO2_T</v>
          </cell>
          <cell r="E797">
            <v>0.44497364987193799</v>
          </cell>
          <cell r="F797">
            <v>1.785397969543483</v>
          </cell>
          <cell r="H797">
            <v>7.9490723234267694E-6</v>
          </cell>
        </row>
        <row r="798">
          <cell r="A798" t="str">
            <v>T_B_u-ICENGA-S3</v>
          </cell>
          <cell r="B798" t="str">
            <v>VAR_fout</v>
          </cell>
          <cell r="C798" t="str">
            <v>TPBSu</v>
          </cell>
          <cell r="E798">
            <v>4.4514827411007641E-4</v>
          </cell>
          <cell r="F798">
            <v>1.8557464066162059E-3</v>
          </cell>
          <cell r="H798">
            <v>1.00009003836474E-8</v>
          </cell>
        </row>
        <row r="799">
          <cell r="A799" t="str">
            <v>T_B_u-ICENGA-S3</v>
          </cell>
          <cell r="B799" t="str">
            <v>VAR_fin</v>
          </cell>
          <cell r="C799" t="str">
            <v>TNGA</v>
          </cell>
          <cell r="E799">
            <v>7.8896037211336513E-3</v>
          </cell>
          <cell r="F799">
            <v>3.1655992367792284E-2</v>
          </cell>
          <cell r="H799">
            <v>1.4094099864231899E-7</v>
          </cell>
        </row>
        <row r="800">
          <cell r="A800" t="str">
            <v>T_B_u-ICENGA-S3</v>
          </cell>
          <cell r="B800" t="str">
            <v>VAR_ncap</v>
          </cell>
          <cell r="C800" t="str">
            <v>-</v>
          </cell>
          <cell r="E800">
            <v>8.4347516873496102E-6</v>
          </cell>
          <cell r="F800">
            <v>2.6575926124772499E-5</v>
          </cell>
        </row>
        <row r="801">
          <cell r="A801" t="str">
            <v>T_B_u-ICENGA-S3</v>
          </cell>
          <cell r="B801" t="str">
            <v>VAR_cap</v>
          </cell>
          <cell r="C801" t="str">
            <v>-</v>
          </cell>
          <cell r="E801">
            <v>8.4347516873496102E-6</v>
          </cell>
          <cell r="F801">
            <v>3.5010677812122102E-5</v>
          </cell>
          <cell r="G801">
            <v>1.8584277300111134E-10</v>
          </cell>
        </row>
        <row r="802">
          <cell r="A802" t="str">
            <v>T_B_u-ICENGA-S4</v>
          </cell>
          <cell r="B802" t="str">
            <v>VAR_fout</v>
          </cell>
          <cell r="C802" t="str">
            <v>CO2_T</v>
          </cell>
          <cell r="E802">
            <v>9.9542104515175605E-4</v>
          </cell>
          <cell r="F802">
            <v>2.8257413688223499E-3</v>
          </cell>
        </row>
        <row r="803">
          <cell r="A803" t="str">
            <v>T_B_u-ICENGA-S4</v>
          </cell>
          <cell r="B803" t="str">
            <v>VAR_fout</v>
          </cell>
          <cell r="C803" t="str">
            <v>TPBSu</v>
          </cell>
          <cell r="E803">
            <v>6.651876029819812E-7</v>
          </cell>
          <cell r="F803">
            <v>1.9416976712450417E-6</v>
          </cell>
        </row>
        <row r="804">
          <cell r="A804" t="str">
            <v>T_B_u-ICENGA-S4</v>
          </cell>
          <cell r="B804" t="str">
            <v>VAR_fin</v>
          </cell>
          <cell r="C804" t="str">
            <v>TNGA</v>
          </cell>
          <cell r="E804">
            <v>1.764930931120134E-5</v>
          </cell>
          <cell r="F804">
            <v>5.0101797319545267E-5</v>
          </cell>
        </row>
        <row r="805">
          <cell r="A805" t="str">
            <v>T_B_u-ICENGA-S4</v>
          </cell>
          <cell r="B805" t="str">
            <v>VAR_ncap</v>
          </cell>
          <cell r="C805" t="str">
            <v>-</v>
          </cell>
          <cell r="E805">
            <v>2.48501141112401E-8</v>
          </cell>
          <cell r="F805">
            <v>3.0506226725406402E-8</v>
          </cell>
        </row>
        <row r="806">
          <cell r="A806" t="str">
            <v>T_B_u-ICENGA-S4</v>
          </cell>
          <cell r="B806" t="str">
            <v>VAR_cap</v>
          </cell>
          <cell r="C806" t="str">
            <v>-</v>
          </cell>
          <cell r="E806">
            <v>2.48501141112401E-8</v>
          </cell>
          <cell r="F806">
            <v>5.5356340836646502E-8</v>
          </cell>
          <cell r="G806">
            <v>2.5033635020123958E-9</v>
          </cell>
        </row>
        <row r="807">
          <cell r="A807"/>
          <cell r="B807"/>
          <cell r="C807"/>
        </row>
      </sheetData>
      <sheetData sheetId="29"/>
      <sheetData sheetId="30">
        <row r="9">
          <cell r="B9">
            <v>18.87304673473124</v>
          </cell>
          <cell r="C9">
            <v>21.778214840355471</v>
          </cell>
          <cell r="D9">
            <v>31.665582233539226</v>
          </cell>
          <cell r="E9">
            <v>50.456793767152647</v>
          </cell>
          <cell r="F9">
            <v>79.277538656310867</v>
          </cell>
          <cell r="G9">
            <v>87.952499884238719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0.10216819383757901</v>
          </cell>
          <cell r="G28">
            <v>0.10317052147923265</v>
          </cell>
        </row>
      </sheetData>
      <sheetData sheetId="31"/>
      <sheetData sheetId="32"/>
      <sheetData sheetId="33">
        <row r="14">
          <cell r="B14">
            <v>82.76000080986357</v>
          </cell>
          <cell r="C14">
            <v>82.75992981035094</v>
          </cell>
          <cell r="D14">
            <v>70.327306655610698</v>
          </cell>
          <cell r="E14">
            <v>69.196990615373764</v>
          </cell>
          <cell r="F14">
            <v>32.420318858540952</v>
          </cell>
          <cell r="G14">
            <v>0</v>
          </cell>
        </row>
        <row r="15">
          <cell r="B15">
            <v>66.745680037436841</v>
          </cell>
          <cell r="C15">
            <v>49.798798693986065</v>
          </cell>
          <cell r="D15">
            <v>68.535157590789154</v>
          </cell>
          <cell r="E15">
            <v>70.23000454847741</v>
          </cell>
          <cell r="F15">
            <v>70.772721031926437</v>
          </cell>
          <cell r="G15">
            <v>74.336055534228123</v>
          </cell>
        </row>
        <row r="16">
          <cell r="B16">
            <v>66.632401819639057</v>
          </cell>
          <cell r="C16">
            <v>55.764000216803026</v>
          </cell>
          <cell r="D16">
            <v>65.550182888372618</v>
          </cell>
          <cell r="E16">
            <v>64.469267731764319</v>
          </cell>
          <cell r="F16">
            <v>66.300719994511383</v>
          </cell>
          <cell r="G16">
            <v>66.134974085555285</v>
          </cell>
        </row>
        <row r="17">
          <cell r="B17">
            <v>12.841921994156607</v>
          </cell>
          <cell r="C17">
            <v>16.035932664868302</v>
          </cell>
          <cell r="D17">
            <v>31.657086218802693</v>
          </cell>
          <cell r="E17">
            <v>12.863067534072233</v>
          </cell>
          <cell r="F17">
            <v>13.346089322039344</v>
          </cell>
          <cell r="G17">
            <v>13.809480515330948</v>
          </cell>
        </row>
        <row r="18">
          <cell r="B18">
            <v>3.9601037501547177E-2</v>
          </cell>
          <cell r="C18">
            <v>1.4092354532420755E-4</v>
          </cell>
          <cell r="D18">
            <v>7.1723371228720008E-3</v>
          </cell>
          <cell r="E18">
            <v>1.2665510225199257E-3</v>
          </cell>
          <cell r="F18">
            <v>3.325441061339E-3</v>
          </cell>
          <cell r="G18">
            <v>9.4816068635571359E-6</v>
          </cell>
        </row>
        <row r="19">
          <cell r="B19">
            <v>6.5070004600527787</v>
          </cell>
          <cell r="C19">
            <v>7.3630616836150198</v>
          </cell>
          <cell r="D19">
            <v>7.5764041552780714</v>
          </cell>
          <cell r="E19">
            <v>7.8213121810598656</v>
          </cell>
          <cell r="F19">
            <v>6.8921073888042939</v>
          </cell>
          <cell r="G19">
            <v>5.1263703690719282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1.4134693901677249</v>
          </cell>
          <cell r="G20">
            <v>4.8957824898361375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4.11453410524278E-2</v>
          </cell>
          <cell r="G21">
            <v>7.618771309468122E-4</v>
          </cell>
        </row>
        <row r="22">
          <cell r="B22">
            <v>0</v>
          </cell>
          <cell r="C22">
            <v>6.3644600498899428E-4</v>
          </cell>
          <cell r="D22">
            <v>1.5288145220587558E-2</v>
          </cell>
          <cell r="E22">
            <v>1.9338420630822899E-2</v>
          </cell>
          <cell r="F22">
            <v>0.38837899167573153</v>
          </cell>
          <cell r="G22">
            <v>5.6862485026234191E-3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2.871749113906447E-3</v>
          </cell>
          <cell r="G23">
            <v>1.9047421724173183E-3</v>
          </cell>
        </row>
        <row r="24">
          <cell r="B24">
            <v>0.96588068318343512</v>
          </cell>
          <cell r="C24">
            <v>6.1733617200563132E-4</v>
          </cell>
          <cell r="D24">
            <v>5.8442348639366464E-3</v>
          </cell>
          <cell r="E24">
            <v>2.0740263237974156E-3</v>
          </cell>
          <cell r="F24">
            <v>2.2010303319136774E-2</v>
          </cell>
          <cell r="G24">
            <v>1.6685303862715173E-4</v>
          </cell>
        </row>
        <row r="25">
          <cell r="B25">
            <v>3.4944726491322913E-5</v>
          </cell>
          <cell r="C25">
            <v>3.4138315855546602E-4</v>
          </cell>
          <cell r="D25">
            <v>6.5148952485753959E-4</v>
          </cell>
          <cell r="E25">
            <v>1.5951963872282572E-3</v>
          </cell>
          <cell r="F25">
            <v>0.27391289144974562</v>
          </cell>
          <cell r="G25">
            <v>0.87144818167490834</v>
          </cell>
        </row>
        <row r="26">
          <cell r="B26">
            <v>1.5475483621589388</v>
          </cell>
          <cell r="C26">
            <v>1.4244090552060902</v>
          </cell>
          <cell r="D26">
            <v>1.454173099712629</v>
          </cell>
          <cell r="E26">
            <v>1.502397045234618</v>
          </cell>
          <cell r="F26">
            <v>1.3210173215078629</v>
          </cell>
          <cell r="G26">
            <v>0.75037256876975877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0.23643642442706647</v>
          </cell>
          <cell r="G27">
            <v>0.7840888887736801</v>
          </cell>
        </row>
        <row r="28">
          <cell r="B28">
            <v>1.8010378432154785E-3</v>
          </cell>
          <cell r="C28">
            <v>9.1985421407529634E-5</v>
          </cell>
          <cell r="D28">
            <v>1.891399596519497E-3</v>
          </cell>
          <cell r="E28">
            <v>9.078416347137779E-4</v>
          </cell>
          <cell r="F28">
            <v>1.0742101832848542E-3</v>
          </cell>
          <cell r="G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3.1682979327880126E-2</v>
          </cell>
          <cell r="G29">
            <v>2.7517917833131192E-4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5.0849829086456961E-3</v>
          </cell>
          <cell r="G30">
            <v>3.3600047671565208E-3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4.9268084950890875E-4</v>
          </cell>
          <cell r="G31">
            <v>0.43581905171358681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1.5300906530899513E-2</v>
          </cell>
          <cell r="G32">
            <v>1.5455372191332436E-2</v>
          </cell>
        </row>
        <row r="33">
          <cell r="B33">
            <v>0.52400000000000047</v>
          </cell>
          <cell r="C33">
            <v>0.54529233979626501</v>
          </cell>
          <cell r="D33">
            <v>0.50410702126395956</v>
          </cell>
          <cell r="E33">
            <v>2.5237590781330628</v>
          </cell>
          <cell r="F33">
            <v>5.2768108596067673</v>
          </cell>
          <cell r="G33">
            <v>10.794166491072341</v>
          </cell>
        </row>
        <row r="34">
          <cell r="B34">
            <v>0</v>
          </cell>
          <cell r="C34">
            <v>0</v>
          </cell>
          <cell r="D34">
            <v>0.14080235622460482</v>
          </cell>
          <cell r="E34">
            <v>10.684521450981828</v>
          </cell>
          <cell r="F34">
            <v>15.294206263464218</v>
          </cell>
          <cell r="G34">
            <v>46.807590019099585</v>
          </cell>
        </row>
        <row r="35">
          <cell r="B35">
            <v>3.517953999707534</v>
          </cell>
          <cell r="C35">
            <v>4.8498358563541837</v>
          </cell>
          <cell r="D35">
            <v>9.5944993976618136</v>
          </cell>
          <cell r="E35">
            <v>17.736887493723508</v>
          </cell>
          <cell r="F35">
            <v>39.100465857077438</v>
          </cell>
          <cell r="G35">
            <v>62.60025769442899</v>
          </cell>
        </row>
        <row r="36">
          <cell r="B36">
            <v>2.1349390887346629</v>
          </cell>
          <cell r="C36">
            <v>3.3906989306381425</v>
          </cell>
          <cell r="D36">
            <v>8.0482095253905577</v>
          </cell>
          <cell r="E36">
            <v>14.087835975785094</v>
          </cell>
          <cell r="F36">
            <v>13.895281345206909</v>
          </cell>
          <cell r="G36">
            <v>3.5567902270449543</v>
          </cell>
        </row>
        <row r="37">
          <cell r="B37">
            <v>0.86248322578584768</v>
          </cell>
          <cell r="C37">
            <v>1.2876203432742255</v>
          </cell>
          <cell r="D37">
            <v>4.1841005751370517</v>
          </cell>
          <cell r="E37">
            <v>9.1198268211926994</v>
          </cell>
          <cell r="F37">
            <v>15.837879921490506</v>
          </cell>
          <cell r="G37">
            <v>27.700732623579608</v>
          </cell>
        </row>
        <row r="38">
          <cell r="B38">
            <v>2.8396236857719668</v>
          </cell>
          <cell r="C38">
            <v>3.2944551572076066</v>
          </cell>
          <cell r="D38">
            <v>6.8323924130458185</v>
          </cell>
          <cell r="E38">
            <v>17.90234288253108</v>
          </cell>
          <cell r="F38">
            <v>30.678577003155329</v>
          </cell>
          <cell r="G38">
            <v>37.263662064898242</v>
          </cell>
        </row>
        <row r="39">
          <cell r="B39">
            <v>0.6699651832342044</v>
          </cell>
          <cell r="C39">
            <v>0.21240024145216624</v>
          </cell>
          <cell r="D39">
            <v>5.0201815304793812E-2</v>
          </cell>
          <cell r="E39">
            <v>0.33665523761335664</v>
          </cell>
          <cell r="F39">
            <v>1.7130204754263845</v>
          </cell>
          <cell r="G39">
            <v>0.82671682981531736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1.541551885744592E-3</v>
          </cell>
          <cell r="G40">
            <v>0.47801121488300274</v>
          </cell>
        </row>
        <row r="41">
          <cell r="B41">
            <v>7.0502111647231858E-2</v>
          </cell>
          <cell r="C41">
            <v>0.17129559535786562</v>
          </cell>
          <cell r="D41">
            <v>3.5500660924518445E-3</v>
          </cell>
          <cell r="E41">
            <v>0.16935560966217936</v>
          </cell>
          <cell r="F41">
            <v>1.8445457209836109E-2</v>
          </cell>
          <cell r="G41">
            <v>4.5379078204022769E-4</v>
          </cell>
        </row>
        <row r="42">
          <cell r="B42">
            <v>0.17245399392753163</v>
          </cell>
          <cell r="C42">
            <v>0.39722421048281215</v>
          </cell>
          <cell r="D42">
            <v>1.1330918213891377</v>
          </cell>
          <cell r="E42">
            <v>1.2603560793519302</v>
          </cell>
          <cell r="F42">
            <v>0.9838464792050271</v>
          </cell>
          <cell r="G42">
            <v>6.3738460671444968E-4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1.0001489338868073</v>
          </cell>
          <cell r="G43">
            <v>5.0128790106515124</v>
          </cell>
        </row>
        <row r="44">
          <cell r="B44">
            <v>0.23004155471366408</v>
          </cell>
          <cell r="C44">
            <v>0.23987916653283056</v>
          </cell>
          <cell r="D44">
            <v>0.33670624457386633</v>
          </cell>
          <cell r="E44">
            <v>0.35668222617679135</v>
          </cell>
          <cell r="F44">
            <v>0.13513769937869011</v>
          </cell>
          <cell r="G44">
            <v>4.5043787111660378E-5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0.17337293369791187</v>
          </cell>
          <cell r="G45">
            <v>0.65317726644411345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0.90692863494163811</v>
          </cell>
          <cell r="F46">
            <v>0.58230338609812793</v>
          </cell>
          <cell r="G46">
            <v>0.330115134482035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1.2515320397442871E-3</v>
          </cell>
          <cell r="F47">
            <v>4.9492288409908299E-3</v>
          </cell>
          <cell r="G47">
            <v>7.3616178643844392E-4</v>
          </cell>
        </row>
        <row r="48">
          <cell r="B48">
            <v>4.3878880824572981E-2</v>
          </cell>
          <cell r="C48">
            <v>2.2475847811975259E-3</v>
          </cell>
          <cell r="D48">
            <v>3.411384427973522E-3</v>
          </cell>
          <cell r="E48">
            <v>1.1946072238587496E-3</v>
          </cell>
          <cell r="F48">
            <v>2.7909498227955219E-3</v>
          </cell>
          <cell r="G48">
            <v>3.9800888394749304E-4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2.6454338701269994E-4</v>
          </cell>
          <cell r="F49">
            <v>7.3885110830839242E-4</v>
          </cell>
          <cell r="G49">
            <v>4.5276837735163083E-4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1.0949553185067376E-3</v>
          </cell>
          <cell r="F50">
            <v>1.9401086010896033E-3</v>
          </cell>
          <cell r="G50">
            <v>7.5006574002592352E-4</v>
          </cell>
        </row>
        <row r="51">
          <cell r="B51">
            <v>5.2563444914347633E-2</v>
          </cell>
          <cell r="C51">
            <v>2.0430650302666947E-3</v>
          </cell>
          <cell r="D51">
            <v>4.8958634904342144E-3</v>
          </cell>
          <cell r="E51">
            <v>1.2075689052548264E-3</v>
          </cell>
          <cell r="F51">
            <v>0.21892777251283818</v>
          </cell>
          <cell r="G51">
            <v>5.0186033086850308E-4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6.3683613816460432E-4</v>
          </cell>
          <cell r="F52">
            <v>2.6230936958897399E-3</v>
          </cell>
          <cell r="G52">
            <v>6.9388717109459749E-4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2.1250578443406309E-3</v>
          </cell>
          <cell r="F53">
            <v>4.6743822748889462E-3</v>
          </cell>
          <cell r="G53">
            <v>1.1259591924384755E-3</v>
          </cell>
        </row>
        <row r="54">
          <cell r="B54">
            <v>0.95936552428690025</v>
          </cell>
          <cell r="C54">
            <v>1.1059705816062375</v>
          </cell>
          <cell r="D54">
            <v>1.1059703770352236</v>
          </cell>
          <cell r="E54">
            <v>1.1059705927620216</v>
          </cell>
          <cell r="F54">
            <v>1.1059716849444003</v>
          </cell>
          <cell r="G54">
            <v>1.1059717711517187</v>
          </cell>
        </row>
        <row r="55">
          <cell r="B55">
            <v>0.5944011839259391</v>
          </cell>
          <cell r="C55">
            <v>0.62591862453204883</v>
          </cell>
          <cell r="D55">
            <v>3.2001399325024939E-3</v>
          </cell>
          <cell r="E55">
            <v>6.9117084963423012E-4</v>
          </cell>
          <cell r="F55">
            <v>1.250069801012611E-3</v>
          </cell>
          <cell r="G55">
            <v>1.8597772552654318E-4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8.1082663755837529E-4</v>
          </cell>
          <cell r="F56">
            <v>1.1396390971490126E-3</v>
          </cell>
          <cell r="G56">
            <v>2.9076186674575525E-4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1.2400913224802576E-3</v>
          </cell>
          <cell r="F57">
            <v>1.3185933213621496E-3</v>
          </cell>
          <cell r="G57">
            <v>8.4380336367481559E-4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2.4415990330298024E-4</v>
          </cell>
          <cell r="F58">
            <v>2.029693818836316E-3</v>
          </cell>
          <cell r="G58">
            <v>3.6975307974959859E-4</v>
          </cell>
        </row>
        <row r="70">
          <cell r="B70">
            <v>9.2173447452090313E-5</v>
          </cell>
          <cell r="C70">
            <v>7.4732864913854826E-3</v>
          </cell>
          <cell r="D70">
            <v>9.4495850753995178E-2</v>
          </cell>
          <cell r="E70">
            <v>9.4493485534884625E-2</v>
          </cell>
          <cell r="F70">
            <v>8.4545019075509584E-2</v>
          </cell>
          <cell r="G70">
            <v>5.6152076040370542E-2</v>
          </cell>
        </row>
        <row r="71">
          <cell r="B71">
            <v>2.4113916493885803E-4</v>
          </cell>
          <cell r="C71">
            <v>3.2362688659373206E-3</v>
          </cell>
          <cell r="D71">
            <v>4.0395061007788237E-3</v>
          </cell>
          <cell r="E71">
            <v>4.6563389553930228E-3</v>
          </cell>
          <cell r="F71">
            <v>1.9422299431321093</v>
          </cell>
          <cell r="G71">
            <v>1.9427853597461857</v>
          </cell>
        </row>
        <row r="72">
          <cell r="B72">
            <v>2.9315692168091338E-4</v>
          </cell>
          <cell r="C72">
            <v>2.9188394439161967E-3</v>
          </cell>
          <cell r="D72">
            <v>3.6840894392247458E-3</v>
          </cell>
          <cell r="E72">
            <v>4.2985499937799937E-3</v>
          </cell>
          <cell r="F72">
            <v>3.5269631957753109E-2</v>
          </cell>
          <cell r="G72">
            <v>6.9632701697724144</v>
          </cell>
        </row>
        <row r="73">
          <cell r="B73">
            <v>3.1527408692113808E-4</v>
          </cell>
          <cell r="C73">
            <v>1.1559760180821727E-3</v>
          </cell>
          <cell r="D73">
            <v>1.175954181882808E-3</v>
          </cell>
          <cell r="E73">
            <v>4.0244035899304588E-3</v>
          </cell>
          <cell r="F73">
            <v>7.1490870347362661E-3</v>
          </cell>
          <cell r="G73">
            <v>5.5667059973738345E-3</v>
          </cell>
        </row>
        <row r="74">
          <cell r="B74">
            <v>6.3465273521490857E-4</v>
          </cell>
          <cell r="C74">
            <v>2.6691755466716621E-3</v>
          </cell>
          <cell r="D74">
            <v>2.7051892527376817E-3</v>
          </cell>
          <cell r="E74">
            <v>0.19254976827968764</v>
          </cell>
          <cell r="F74">
            <v>0.29674999053539219</v>
          </cell>
          <cell r="G74">
            <v>0.39863752090592586</v>
          </cell>
        </row>
        <row r="75">
          <cell r="B75">
            <v>6.3465314797252572E-4</v>
          </cell>
          <cell r="C75">
            <v>2.6710628903513813E-3</v>
          </cell>
          <cell r="D75">
            <v>2.707277749049324E-3</v>
          </cell>
          <cell r="E75">
            <v>0.23310269695620811</v>
          </cell>
          <cell r="F75">
            <v>0.30796421648846833</v>
          </cell>
          <cell r="G75">
            <v>0.40984744833136033</v>
          </cell>
        </row>
        <row r="76">
          <cell r="B76">
            <v>3.120919338542954E-4</v>
          </cell>
          <cell r="C76">
            <v>1.1595704000986649E-3</v>
          </cell>
          <cell r="D76">
            <v>1.1797623124466102E-3</v>
          </cell>
          <cell r="E76">
            <v>3.9947438911112952E-3</v>
          </cell>
          <cell r="F76">
            <v>6.227797254063458E-3</v>
          </cell>
          <cell r="G76">
            <v>4.577553620779105E-3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1.3782775351154508E-4</v>
          </cell>
          <cell r="G90">
            <v>1.1450083979739644E-4</v>
          </cell>
        </row>
        <row r="91">
          <cell r="B91">
            <v>1.8035510959187242</v>
          </cell>
          <cell r="C91">
            <v>1.1862453865855349E-3</v>
          </cell>
          <cell r="D91">
            <v>1.1705980676556869E-2</v>
          </cell>
          <cell r="E91">
            <v>4.4357860474954899E-3</v>
          </cell>
          <cell r="F91">
            <v>4.6567962079732149E-2</v>
          </cell>
          <cell r="G91">
            <v>3.4926126306285152E-4</v>
          </cell>
        </row>
        <row r="92">
          <cell r="B92">
            <v>9.6822844366130091E-5</v>
          </cell>
          <cell r="C92">
            <v>0.14264844027504456</v>
          </cell>
          <cell r="D92">
            <v>1.9266952746583212E-3</v>
          </cell>
          <cell r="E92">
            <v>2.092228015719072E-2</v>
          </cell>
          <cell r="F92">
            <v>0.72642365239886686</v>
          </cell>
          <cell r="G92">
            <v>3.8118265190209963</v>
          </cell>
        </row>
        <row r="93">
          <cell r="B93">
            <v>14.461260477271779</v>
          </cell>
          <cell r="C93">
            <v>13.159404849482078</v>
          </cell>
          <cell r="D93">
            <v>13.470762138996649</v>
          </cell>
          <cell r="E93">
            <v>13.510625828456901</v>
          </cell>
          <cell r="F93">
            <v>13.035390786334899</v>
          </cell>
          <cell r="G93">
            <v>11.851044803718533</v>
          </cell>
        </row>
        <row r="94">
          <cell r="B94">
            <v>9.2624803365367412E-3</v>
          </cell>
          <cell r="C94">
            <v>4.7306788152443784E-4</v>
          </cell>
          <cell r="D94">
            <v>9.727197924957404E-3</v>
          </cell>
          <cell r="E94">
            <v>4.6688998356708561E-3</v>
          </cell>
          <cell r="F94">
            <v>5.5245095140363954E-3</v>
          </cell>
          <cell r="G94">
            <v>7.9899575922259825E-6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4.0395798643047182E-2</v>
          </cell>
          <cell r="G95">
            <v>3.6461241128898811E-4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6.1746221033554625E-3</v>
          </cell>
          <cell r="G96">
            <v>4.2400060156975042E-3</v>
          </cell>
        </row>
        <row r="97">
          <cell r="B97">
            <v>1.7329002996617391</v>
          </cell>
          <cell r="C97">
            <v>0.44239069244318535</v>
          </cell>
          <cell r="D97">
            <v>2.2812944648156734</v>
          </cell>
          <cell r="E97">
            <v>1.9337324604571154E-3</v>
          </cell>
          <cell r="F97">
            <v>2.0549763988787152E-3</v>
          </cell>
          <cell r="G97">
            <v>4.9681359632602243E-5</v>
          </cell>
        </row>
        <row r="98">
          <cell r="B98">
            <v>0.90177566749128346</v>
          </cell>
          <cell r="C98">
            <v>1.337719067181019E-3</v>
          </cell>
          <cell r="D98">
            <v>8.6309621048011212E-4</v>
          </cell>
          <cell r="E98">
            <v>3.4078322695502221E-4</v>
          </cell>
          <cell r="F98">
            <v>1.2915405569034453</v>
          </cell>
          <cell r="G98">
            <v>2.9806979707862742E-4</v>
          </cell>
        </row>
        <row r="99">
          <cell r="B99">
            <v>1.4500041383323992</v>
          </cell>
          <cell r="C99">
            <v>3.8015264806984503</v>
          </cell>
          <cell r="D99">
            <v>2.4077456509327058</v>
          </cell>
          <cell r="E99">
            <v>0.97504687346032592</v>
          </cell>
          <cell r="F99">
            <v>0</v>
          </cell>
          <cell r="G99">
            <v>0</v>
          </cell>
        </row>
        <row r="100">
          <cell r="B100">
            <v>0.18407027824645758</v>
          </cell>
          <cell r="C100">
            <v>2.0438462274411058</v>
          </cell>
          <cell r="D100">
            <v>2.4555723226400341E-3</v>
          </cell>
          <cell r="E100">
            <v>1.377191570777184</v>
          </cell>
          <cell r="F100">
            <v>6.3804042544900229E-4</v>
          </cell>
          <cell r="G100">
            <v>0</v>
          </cell>
        </row>
        <row r="101">
          <cell r="B101">
            <v>2.5149444409084341</v>
          </cell>
          <cell r="C101">
            <v>2.2697375544975698</v>
          </cell>
          <cell r="D101">
            <v>1.9460166239327568</v>
          </cell>
          <cell r="E101">
            <v>1.5057911814384399</v>
          </cell>
          <cell r="F101">
            <v>0.90157431094377727</v>
          </cell>
          <cell r="G101">
            <v>0.53980636056573594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2.0002703253408204E-4</v>
          </cell>
          <cell r="F102">
            <v>2.0251528751179804E-4</v>
          </cell>
          <cell r="G102">
            <v>0.24489838355122867</v>
          </cell>
        </row>
        <row r="103">
          <cell r="F103">
            <v>1.9419268348429732</v>
          </cell>
          <cell r="G103">
            <v>1.4420678388770942</v>
          </cell>
        </row>
        <row r="104">
          <cell r="B104">
            <v>0.9293460171680572</v>
          </cell>
          <cell r="C104">
            <v>2.0701600906023936</v>
          </cell>
          <cell r="D104">
            <v>3.7064619917571984E-2</v>
          </cell>
          <cell r="E104">
            <v>1.3039144077292872</v>
          </cell>
          <cell r="F104">
            <v>4.0888413227688894E-2</v>
          </cell>
          <cell r="G104">
            <v>1.0059270856719413E-3</v>
          </cell>
        </row>
        <row r="105">
          <cell r="B105">
            <v>0.65953792945737721</v>
          </cell>
          <cell r="C105">
            <v>1.3833807964653162</v>
          </cell>
          <cell r="D105">
            <v>3.365176699869934</v>
          </cell>
          <cell r="E105">
            <v>2.6661378601675492</v>
          </cell>
          <cell r="F105">
            <v>4.1969133738481199</v>
          </cell>
          <cell r="G105">
            <v>10.605515451507825</v>
          </cell>
        </row>
        <row r="106">
          <cell r="B106">
            <v>1.9347926093408205</v>
          </cell>
          <cell r="C106">
            <v>1.9372794729880576</v>
          </cell>
          <cell r="D106">
            <v>2.550289323613431</v>
          </cell>
          <cell r="E106">
            <v>2.4032644078449863</v>
          </cell>
          <cell r="F106">
            <v>1.5626183677201637</v>
          </cell>
          <cell r="G106">
            <v>2.2158916143456606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6.2576601987214379E-4</v>
          </cell>
          <cell r="F107">
            <v>2.2248826899867046E-3</v>
          </cell>
          <cell r="G107">
            <v>2.9704773838744227E-4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0.67790625238061841</v>
          </cell>
          <cell r="F108">
            <v>0.34938203165887655</v>
          </cell>
          <cell r="G108">
            <v>0.16505756724101761</v>
          </cell>
        </row>
        <row r="109">
          <cell r="B109">
            <v>0.15216665607641669</v>
          </cell>
          <cell r="C109">
            <v>5.919516585440425E-3</v>
          </cell>
          <cell r="D109">
            <v>1.5256348236279143E-2</v>
          </cell>
          <cell r="E109">
            <v>5.436608668922969E-3</v>
          </cell>
          <cell r="F109">
            <v>1.1541732390553663E-2</v>
          </cell>
          <cell r="G109">
            <v>3.8438983511091987E-3</v>
          </cell>
        </row>
        <row r="110">
          <cell r="B110">
            <v>1.2587459941446275E-4</v>
          </cell>
          <cell r="C110">
            <v>1.5366190314008348E-4</v>
          </cell>
          <cell r="D110">
            <v>6.4417331085198418E-5</v>
          </cell>
          <cell r="E110">
            <v>5.3190025060965819E-3</v>
          </cell>
          <cell r="F110">
            <v>8.4447121730702526E-3</v>
          </cell>
          <cell r="G110">
            <v>4.5590012553888594E-3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0.23626308489338832</v>
          </cell>
          <cell r="C112">
            <v>4.9877025461867132E-3</v>
          </cell>
          <cell r="D112">
            <v>1.951930072312584E-2</v>
          </cell>
          <cell r="E112">
            <v>5.7952369572057353E-3</v>
          </cell>
          <cell r="F112">
            <v>0.46815150393143962</v>
          </cell>
          <cell r="G112">
            <v>4.4565726870135353E-3</v>
          </cell>
        </row>
        <row r="113">
          <cell r="B113">
            <v>1.4180511452723768E-4</v>
          </cell>
          <cell r="C113">
            <v>1.5366606221155389E-4</v>
          </cell>
          <cell r="D113">
            <v>6.4740772701417696E-5</v>
          </cell>
          <cell r="E113">
            <v>8.42061075404427E-3</v>
          </cell>
          <cell r="F113">
            <v>1.6558743110368836E-2</v>
          </cell>
          <cell r="G113">
            <v>6.0603692499949973E-3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1.4243097261480884</v>
          </cell>
          <cell r="C115">
            <v>1.578362182741865</v>
          </cell>
          <cell r="D115">
            <v>1.4829576151177315</v>
          </cell>
          <cell r="E115">
            <v>1.3239507472379881</v>
          </cell>
          <cell r="F115">
            <v>1.0059374263525642</v>
          </cell>
          <cell r="G115">
            <v>1.0059375047624979</v>
          </cell>
        </row>
        <row r="116">
          <cell r="B116">
            <v>0.69258011465227254</v>
          </cell>
          <cell r="C116">
            <v>0.75026083602534732</v>
          </cell>
          <cell r="D116">
            <v>3.996589571128739E-3</v>
          </cell>
          <cell r="E116">
            <v>9.210448875863449E-4</v>
          </cell>
          <cell r="F116">
            <v>1.8751047015189153E-3</v>
          </cell>
          <cell r="G116">
            <v>2.7896658828981477E-4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1.2958375232812503E-3</v>
          </cell>
          <cell r="F117">
            <v>1.7428293830367364E-3</v>
          </cell>
          <cell r="G117">
            <v>4.2701173164324288E-4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7.2923429936237443E-5</v>
          </cell>
          <cell r="F118">
            <v>5.986541650504E-4</v>
          </cell>
          <cell r="G118">
            <v>1.0698596698952694E-4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9.3333189007724718E-4</v>
          </cell>
          <cell r="F119">
            <v>8.3020612978875993E-4</v>
          </cell>
          <cell r="G119">
            <v>4.7693233599011361E-4</v>
          </cell>
        </row>
        <row r="123">
          <cell r="B123">
            <v>0</v>
          </cell>
          <cell r="C123">
            <v>3.6831122852303744</v>
          </cell>
          <cell r="D123">
            <v>3.7947206422870976</v>
          </cell>
          <cell r="E123">
            <v>11.054509479965255</v>
          </cell>
          <cell r="F123">
            <v>17.904552862591316</v>
          </cell>
          <cell r="G123">
            <v>19.777788108780161</v>
          </cell>
        </row>
      </sheetData>
      <sheetData sheetId="34">
        <row r="13">
          <cell r="B13">
            <v>16.052402535935702</v>
          </cell>
          <cell r="C13">
            <v>20.044916772635993</v>
          </cell>
          <cell r="D13">
            <v>39.571359051321465</v>
          </cell>
          <cell r="E13">
            <v>16.078833501754708</v>
          </cell>
          <cell r="F13">
            <v>16.682609549035714</v>
          </cell>
          <cell r="G13">
            <v>17.261849107526164</v>
          </cell>
        </row>
        <row r="14">
          <cell r="B14">
            <v>250.94817636532832</v>
          </cell>
          <cell r="C14">
            <v>253.29948466409317</v>
          </cell>
          <cell r="D14">
            <v>214.42483478236599</v>
          </cell>
          <cell r="E14">
            <v>209.58455041622403</v>
          </cell>
          <cell r="F14">
            <v>97.738161177716407</v>
          </cell>
          <cell r="G14">
            <v>0</v>
          </cell>
        </row>
        <row r="15">
          <cell r="B15">
            <v>66.745680037436841</v>
          </cell>
          <cell r="C15">
            <v>49.798798693986065</v>
          </cell>
          <cell r="D15">
            <v>68.535157590789154</v>
          </cell>
          <cell r="E15">
            <v>70.23000454847741</v>
          </cell>
          <cell r="F15">
            <v>70.772721031926437</v>
          </cell>
          <cell r="G15">
            <v>74.336055534228123</v>
          </cell>
        </row>
        <row r="16">
          <cell r="B16">
            <v>66.632401819639057</v>
          </cell>
          <cell r="C16">
            <v>55.764000216803026</v>
          </cell>
          <cell r="D16">
            <v>65.550182888372618</v>
          </cell>
          <cell r="E16">
            <v>64.469267731764319</v>
          </cell>
          <cell r="F16">
            <v>66.300719994511383</v>
          </cell>
          <cell r="G16">
            <v>66.134974085555285</v>
          </cell>
        </row>
        <row r="18">
          <cell r="B18">
            <v>0.12051623554376224</v>
          </cell>
          <cell r="C18">
            <v>1.4597063485121456E-3</v>
          </cell>
          <cell r="D18">
            <v>2.4535438936715923E-2</v>
          </cell>
          <cell r="E18">
            <v>4.5983296507523964E-3</v>
          </cell>
          <cell r="F18">
            <v>1.0229304879512053E-2</v>
          </cell>
          <cell r="G18">
            <v>3.2961207978630965E-5</v>
          </cell>
        </row>
        <row r="19">
          <cell r="B19">
            <v>18.203591765677654</v>
          </cell>
          <cell r="C19">
            <v>20.598456978277838</v>
          </cell>
          <cell r="D19">
            <v>21.195291001000978</v>
          </cell>
          <cell r="E19">
            <v>21.880430912829709</v>
          </cell>
          <cell r="F19">
            <v>19.280943666935947</v>
          </cell>
          <cell r="G19">
            <v>14.34122434924412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4.2229875879645213</v>
          </cell>
          <cell r="G20">
            <v>14.340204344817044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6.6644873792356382E-2</v>
          </cell>
          <cell r="G21">
            <v>1.4336725075938465E-3</v>
          </cell>
        </row>
        <row r="22">
          <cell r="B22">
            <v>0</v>
          </cell>
          <cell r="C22">
            <v>2.454470166745723E-3</v>
          </cell>
          <cell r="D22">
            <v>4.5320781433515735E-2</v>
          </cell>
          <cell r="E22">
            <v>0.14395818182838802</v>
          </cell>
          <cell r="F22">
            <v>0.94920394099929128</v>
          </cell>
          <cell r="G22">
            <v>1.4017999517689544E-2</v>
          </cell>
          <cell r="L22">
            <v>2.6175084424975661</v>
          </cell>
          <cell r="M22">
            <v>0.77534271440675573</v>
          </cell>
          <cell r="N22">
            <v>0.81522435421661921</v>
          </cell>
          <cell r="O22">
            <v>0.50265093860264021</v>
          </cell>
          <cell r="P22">
            <v>1.4908421547891166</v>
          </cell>
          <cell r="Q22">
            <v>0.46200299538049083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5.9562053366682965E-3</v>
          </cell>
          <cell r="G23">
            <v>3.7394638215309372E-3</v>
          </cell>
          <cell r="L23">
            <v>6.887165056926331E-2</v>
          </cell>
          <cell r="M23">
            <v>2.5363492256999572E-2</v>
          </cell>
          <cell r="N23">
            <v>1.1899231284328081E-3</v>
          </cell>
          <cell r="O23">
            <v>1.9551203704774426E-2</v>
          </cell>
          <cell r="P23">
            <v>0.37031147288701022</v>
          </cell>
          <cell r="Q23">
            <v>0.96832195252798214</v>
          </cell>
        </row>
        <row r="24">
          <cell r="B24">
            <v>3.6819370309908273</v>
          </cell>
          <cell r="C24">
            <v>3.3250970051909474E-3</v>
          </cell>
          <cell r="D24">
            <v>2.9027615029122891E-2</v>
          </cell>
          <cell r="E24">
            <v>0.11419594584439813</v>
          </cell>
          <cell r="F24">
            <v>8.8817519429167588E-2</v>
          </cell>
          <cell r="G24">
            <v>8.0409993313804585E-4</v>
          </cell>
        </row>
        <row r="25">
          <cell r="B25">
            <v>1.4459373390830833E-4</v>
          </cell>
          <cell r="C25">
            <v>2.1014559239235764E-3</v>
          </cell>
          <cell r="D25">
            <v>3.3767247411956849E-3</v>
          </cell>
          <cell r="E25">
            <v>6.3245470925136589E-3</v>
          </cell>
          <cell r="F25">
            <v>0.89512530689996939</v>
          </cell>
          <cell r="G25">
            <v>2.8469462987394696</v>
          </cell>
        </row>
        <row r="26">
          <cell r="B26">
            <v>40.317902390043585</v>
          </cell>
          <cell r="C26">
            <v>37.789257776997779</v>
          </cell>
          <cell r="D26">
            <v>37.895962433476136</v>
          </cell>
          <cell r="E26">
            <v>41.023293077953568</v>
          </cell>
          <cell r="F26">
            <v>39.071437544071713</v>
          </cell>
          <cell r="G26">
            <v>28.74341040553071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4.9009630442506698</v>
          </cell>
          <cell r="G27">
            <v>14.52016460692</v>
          </cell>
        </row>
        <row r="28">
          <cell r="B28">
            <v>2.2959670294268358E-2</v>
          </cell>
          <cell r="C28">
            <v>1.8871276166972895E-3</v>
          </cell>
          <cell r="D28">
            <v>2.0169746446127665E-2</v>
          </cell>
          <cell r="E28">
            <v>9.1137116313502811E-3</v>
          </cell>
          <cell r="F28">
            <v>9.7845723457350379E-3</v>
          </cell>
          <cell r="G28">
            <v>1.8490637976412958E-5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7.9207448319700294E-2</v>
          </cell>
          <cell r="G29">
            <v>6.8794794582827991E-4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1.2107102163442124E-2</v>
          </cell>
          <cell r="G30">
            <v>8.0000113503726714E-3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3.3098392197688973E-3</v>
          </cell>
          <cell r="G31">
            <v>3.11885532391182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0.10200604353933014</v>
          </cell>
          <cell r="G32">
            <v>0.10303581460888278</v>
          </cell>
        </row>
        <row r="33">
          <cell r="B33">
            <v>0.52400000000000047</v>
          </cell>
          <cell r="C33">
            <v>0.54529233979626501</v>
          </cell>
          <cell r="D33">
            <v>0.50410702126395956</v>
          </cell>
          <cell r="E33">
            <v>2.5237590781330628</v>
          </cell>
          <cell r="F33">
            <v>5.2768108596067673</v>
          </cell>
          <cell r="G33">
            <v>10.794166491072341</v>
          </cell>
        </row>
        <row r="34">
          <cell r="B34">
            <v>0</v>
          </cell>
          <cell r="C34">
            <v>0</v>
          </cell>
          <cell r="D34">
            <v>0.14080235622460482</v>
          </cell>
          <cell r="E34">
            <v>10.684521450981828</v>
          </cell>
          <cell r="F34">
            <v>15.294206263464218</v>
          </cell>
          <cell r="G34">
            <v>46.807590019099585</v>
          </cell>
        </row>
        <row r="35">
          <cell r="B35">
            <v>3.517953999707534</v>
          </cell>
          <cell r="C35">
            <v>4.8498358563541837</v>
          </cell>
          <cell r="D35">
            <v>9.5944993976618136</v>
          </cell>
          <cell r="E35">
            <v>17.736887493723508</v>
          </cell>
          <cell r="F35">
            <v>39.100465857077438</v>
          </cell>
          <cell r="G35">
            <v>62.60025769442899</v>
          </cell>
        </row>
        <row r="36">
          <cell r="B36">
            <v>2.1349390887346629</v>
          </cell>
          <cell r="C36">
            <v>3.3906989306381425</v>
          </cell>
          <cell r="D36">
            <v>8.0482095253905577</v>
          </cell>
          <cell r="E36">
            <v>14.087835975785094</v>
          </cell>
          <cell r="F36">
            <v>13.895281345206909</v>
          </cell>
          <cell r="G36">
            <v>3.5567902270449543</v>
          </cell>
        </row>
        <row r="37">
          <cell r="B37">
            <v>0.86248322578584768</v>
          </cell>
          <cell r="C37">
            <v>1.2876203432742255</v>
          </cell>
          <cell r="D37">
            <v>4.1841005751370517</v>
          </cell>
          <cell r="E37">
            <v>9.1198268211926994</v>
          </cell>
          <cell r="F37">
            <v>15.837879921490506</v>
          </cell>
          <cell r="G37">
            <v>27.700732623579608</v>
          </cell>
        </row>
        <row r="38">
          <cell r="B38">
            <v>2.8396236857719668</v>
          </cell>
          <cell r="C38">
            <v>3.2944551572076066</v>
          </cell>
          <cell r="D38">
            <v>6.8323924130458185</v>
          </cell>
          <cell r="E38">
            <v>17.90234288253108</v>
          </cell>
          <cell r="F38">
            <v>30.678577003155329</v>
          </cell>
          <cell r="G38">
            <v>37.263662064898242</v>
          </cell>
        </row>
        <row r="39">
          <cell r="B39">
            <v>1.9223242799452223</v>
          </cell>
          <cell r="C39">
            <v>0.60398777622713973</v>
          </cell>
          <cell r="D39">
            <v>0.14337334807548044</v>
          </cell>
          <cell r="E39">
            <v>1.0285721024019534</v>
          </cell>
          <cell r="F39">
            <v>4.7712116954402006</v>
          </cell>
          <cell r="G39">
            <v>3.7823044139795003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5.4315259806497892E-3</v>
          </cell>
          <cell r="G40">
            <v>1.4797527397987349</v>
          </cell>
        </row>
        <row r="41">
          <cell r="B41">
            <v>0.29648017134921301</v>
          </cell>
          <cell r="C41">
            <v>0.69489869752861722</v>
          </cell>
          <cell r="D41">
            <v>1.4887450235176208E-2</v>
          </cell>
          <cell r="E41">
            <v>0.64438720838642272</v>
          </cell>
          <cell r="F41">
            <v>7.0493256649647382E-2</v>
          </cell>
          <cell r="G41">
            <v>1.9105717344395576E-3</v>
          </cell>
        </row>
        <row r="42">
          <cell r="B42">
            <v>0.87253760658803525</v>
          </cell>
          <cell r="C42">
            <v>1.759389454659076</v>
          </cell>
          <cell r="D42">
            <v>4.4989926984724891</v>
          </cell>
          <cell r="E42">
            <v>4.5494022371564435</v>
          </cell>
          <cell r="F42">
            <v>2.7870072541836541</v>
          </cell>
          <cell r="G42">
            <v>1.9369465679275266E-3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2.9824444249426403</v>
          </cell>
          <cell r="G43">
            <v>14.376580126560324</v>
          </cell>
        </row>
        <row r="44">
          <cell r="B44">
            <v>3.7119620598914445</v>
          </cell>
          <cell r="C44">
            <v>3.8707166601532075</v>
          </cell>
          <cell r="D44">
            <v>5.4331425474196156</v>
          </cell>
          <cell r="E44">
            <v>5.7554779876508491</v>
          </cell>
          <cell r="F44">
            <v>2.1806022195519152</v>
          </cell>
          <cell r="G44">
            <v>7.2683331597547677E-4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3.1084130053193699</v>
          </cell>
          <cell r="G45">
            <v>11.710851668066882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1.8321790604881574</v>
          </cell>
          <cell r="F46">
            <v>1.0587334292693233</v>
          </cell>
          <cell r="G46">
            <v>0.55019189080339193</v>
          </cell>
        </row>
        <row r="47">
          <cell r="B47">
            <v>0</v>
          </cell>
        </row>
        <row r="48">
          <cell r="B48">
            <v>0.17576671858563425</v>
          </cell>
          <cell r="C48">
            <v>8.6555039127565684E-3</v>
          </cell>
          <cell r="D48">
            <v>1.8116610332615454E-2</v>
          </cell>
          <cell r="E48">
            <v>0.16110135236401493</v>
          </cell>
          <cell r="F48">
            <v>1.0808255901478242E-2</v>
          </cell>
          <cell r="G48">
            <v>1.6011239619463677E-3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6.2986520717309559E-4</v>
          </cell>
          <cell r="F49">
            <v>1.6792070643372554E-3</v>
          </cell>
          <cell r="G49">
            <v>1.0061519496702906E-3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5.4921127036297434E-3</v>
          </cell>
          <cell r="F50">
            <v>8.9726732898548767E-3</v>
          </cell>
          <cell r="G50">
            <v>3.2296503984229159E-3</v>
          </cell>
        </row>
        <row r="51">
          <cell r="B51">
            <v>0.19634849566649523</v>
          </cell>
          <cell r="C51">
            <v>7.4229008677435936E-3</v>
          </cell>
          <cell r="D51">
            <v>2.1915253389739282E-2</v>
          </cell>
          <cell r="E51">
            <v>0.16003930557176277</v>
          </cell>
          <cell r="F51">
            <v>0.71888638935321247</v>
          </cell>
          <cell r="G51">
            <v>1.8743142083742258E-3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1.5162765194395337E-3</v>
          </cell>
          <cell r="F52">
            <v>5.9615765815675924E-3</v>
          </cell>
          <cell r="G52">
            <v>1.5419714913213292E-3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9.0637345721978312E-3</v>
          </cell>
          <cell r="F53">
            <v>1.8387700960248807E-2</v>
          </cell>
          <cell r="G53">
            <v>4.3748089307629016E-3</v>
          </cell>
        </row>
        <row r="54">
          <cell r="B54">
            <v>2.6453960652801176</v>
          </cell>
          <cell r="C54">
            <v>3.046730892366059</v>
          </cell>
          <cell r="D54">
            <v>3.043077327467596</v>
          </cell>
          <cell r="E54">
            <v>3.0325902990305615</v>
          </cell>
          <cell r="F54">
            <v>2.9501120867446224</v>
          </cell>
          <cell r="G54">
            <v>2.8715230456691416</v>
          </cell>
        </row>
        <row r="55">
          <cell r="B55">
            <v>1.6665151093507808</v>
          </cell>
          <cell r="C55">
            <v>1.7388988554722378</v>
          </cell>
          <cell r="D55">
            <v>1.2273597311699153E-2</v>
          </cell>
          <cell r="E55">
            <v>0.31160306131330745</v>
          </cell>
          <cell r="F55">
            <v>3.9748871963623663E-3</v>
          </cell>
          <cell r="G55">
            <v>6.1741805699729892E-4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2.998512394575614E-3</v>
          </cell>
          <cell r="F56">
            <v>4.0221119258058956E-3</v>
          </cell>
          <cell r="G56">
            <v>1.0393988232175462E-3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2.6107185736426513E-3</v>
          </cell>
          <cell r="F57">
            <v>2.442480138004537E-3</v>
          </cell>
          <cell r="G57">
            <v>1.4675266471638757E-3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4.0693317217163378E-4</v>
          </cell>
          <cell r="F58">
            <v>3.3273669161251081E-3</v>
          </cell>
          <cell r="G58">
            <v>5.9637593507999792E-4</v>
          </cell>
        </row>
        <row r="63">
          <cell r="B63">
            <v>1.3721134605242029E-4</v>
          </cell>
          <cell r="C63">
            <v>1.067861511965848E-2</v>
          </cell>
          <cell r="D63">
            <v>0.13499499222981848</v>
          </cell>
          <cell r="E63">
            <v>0.13499164466494157</v>
          </cell>
          <cell r="F63">
            <v>0.12078021715697322</v>
          </cell>
          <cell r="G63">
            <v>8.021846081338814E-2</v>
          </cell>
        </row>
        <row r="64">
          <cell r="B64">
            <v>2.8457569431598363E-4</v>
          </cell>
          <cell r="C64">
            <v>3.7370205662827435E-3</v>
          </cell>
          <cell r="D64">
            <v>4.6595905094853375E-3</v>
          </cell>
          <cell r="E64">
            <v>5.3712263924286085E-3</v>
          </cell>
          <cell r="F64">
            <v>2.2400722133136011</v>
          </cell>
          <cell r="G64">
            <v>2.2407122566254847</v>
          </cell>
        </row>
        <row r="65">
          <cell r="B65">
            <v>3.2816308693873141E-4</v>
          </cell>
          <cell r="C65">
            <v>3.2640258467329154E-3</v>
          </cell>
          <cell r="D65">
            <v>4.1201846196800476E-3</v>
          </cell>
          <cell r="E65">
            <v>4.8076123355105882E-3</v>
          </cell>
          <cell r="F65">
            <v>3.943966813595022E-2</v>
          </cell>
          <cell r="G65">
            <v>7.7865441908831592</v>
          </cell>
        </row>
        <row r="66">
          <cell r="B66">
            <v>3.5095686834307722E-4</v>
          </cell>
          <cell r="C66">
            <v>1.2805442205269266E-3</v>
          </cell>
          <cell r="D66">
            <v>1.3007962397834007E-3</v>
          </cell>
          <cell r="E66">
            <v>4.450718961095777E-3</v>
          </cell>
          <cell r="F66">
            <v>7.906223672179068E-3</v>
          </cell>
          <cell r="G66">
            <v>6.1562059972847302E-3</v>
          </cell>
        </row>
        <row r="67">
          <cell r="B67">
            <v>7.0645282661368645E-4</v>
          </cell>
          <cell r="C67">
            <v>2.9561113273627792E-3</v>
          </cell>
          <cell r="D67">
            <v>2.9922733779083927E-3</v>
          </cell>
          <cell r="E67">
            <v>0.21293455569740155</v>
          </cell>
          <cell r="F67">
            <v>0.32816589292817411</v>
          </cell>
          <cell r="G67">
            <v>0.44083956448494732</v>
          </cell>
        </row>
        <row r="68">
          <cell r="B68">
            <v>7.0645328306638555E-4</v>
          </cell>
          <cell r="C68">
            <v>2.9581948706180142E-3</v>
          </cell>
          <cell r="D68">
            <v>2.9945829724567549E-3</v>
          </cell>
          <cell r="E68">
            <v>0.25778061191013552</v>
          </cell>
          <cell r="F68">
            <v>0.34056730854887185</v>
          </cell>
          <cell r="G68">
            <v>0.45323622859453422</v>
          </cell>
        </row>
        <row r="69">
          <cell r="B69">
            <v>3.4743783728939052E-4</v>
          </cell>
          <cell r="C69">
            <v>1.2845083100273649E-3</v>
          </cell>
          <cell r="D69">
            <v>1.305376146601451E-3</v>
          </cell>
          <cell r="E69">
            <v>4.4179312998453976E-3</v>
          </cell>
          <cell r="F69">
            <v>6.8873626424134481E-3</v>
          </cell>
          <cell r="G69">
            <v>5.0623372057712942E-3</v>
          </cell>
        </row>
        <row r="90">
          <cell r="B90">
            <v>2.0280767005016296</v>
          </cell>
          <cell r="C90">
            <v>0.51774603307411282</v>
          </cell>
          <cell r="D90">
            <v>2.6698824808208035</v>
          </cell>
          <cell r="E90">
            <v>2.2631179351877825E-3</v>
          </cell>
          <cell r="F90">
            <v>2.4050141577447856E-3</v>
          </cell>
          <cell r="G90">
            <v>5.8143915111440986E-5</v>
          </cell>
        </row>
        <row r="91">
          <cell r="B91">
            <v>1.1839518005241125</v>
          </cell>
          <cell r="C91">
            <v>1.7563069788636922E-3</v>
          </cell>
          <cell r="D91">
            <v>1.1331690898982313E-3</v>
          </cell>
          <cell r="E91">
            <v>4.4741827672536565E-4</v>
          </cell>
          <cell r="F91">
            <v>1.6956786736658411</v>
          </cell>
          <cell r="G91">
            <v>3.9133931603505928E-4</v>
          </cell>
        </row>
        <row r="92">
          <cell r="B92">
            <v>1.4500041383323992</v>
          </cell>
          <cell r="C92">
            <v>3.8015264806984503</v>
          </cell>
          <cell r="D92">
            <v>2.4077456509327058</v>
          </cell>
          <cell r="E92">
            <v>0.97504687346032592</v>
          </cell>
          <cell r="F92">
            <v>0</v>
          </cell>
          <cell r="G92">
            <v>0</v>
          </cell>
        </row>
        <row r="93">
          <cell r="B93">
            <v>0.21542418951590123</v>
          </cell>
          <cell r="C93">
            <v>2.391988110389605</v>
          </cell>
          <cell r="D93">
            <v>2.8738462419996284E-3</v>
          </cell>
          <cell r="E93">
            <v>1.6117777447240593</v>
          </cell>
          <cell r="F93">
            <v>7.4672208267484083E-4</v>
          </cell>
          <cell r="G93">
            <v>0</v>
          </cell>
        </row>
        <row r="94">
          <cell r="B94">
            <v>3.5927777727263388</v>
          </cell>
          <cell r="C94">
            <v>3.2424822207108157</v>
          </cell>
          <cell r="D94">
            <v>2.7800237484753647</v>
          </cell>
          <cell r="E94">
            <v>2.1511302591977706</v>
          </cell>
          <cell r="F94">
            <v>1.287963301348253</v>
          </cell>
          <cell r="G94">
            <v>0.77115194366533613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2.0002703253408204E-4</v>
          </cell>
          <cell r="F95">
            <v>2.0251528751179804E-4</v>
          </cell>
          <cell r="G95">
            <v>0.24489838355122867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1.6215029824887648E-4</v>
          </cell>
          <cell r="G96">
            <v>1.3470687034987819E-4</v>
          </cell>
        </row>
        <row r="97">
          <cell r="B97">
            <v>0</v>
          </cell>
          <cell r="C97">
            <v>1.227704095076791</v>
          </cell>
          <cell r="D97">
            <v>1.2649068807623638</v>
          </cell>
          <cell r="E97">
            <v>3.6848364933217566</v>
          </cell>
          <cell r="F97">
            <v>5.9681842875304394</v>
          </cell>
          <cell r="G97">
            <v>6.5925960362600522</v>
          </cell>
        </row>
      </sheetData>
      <sheetData sheetId="35">
        <row r="14">
          <cell r="B14">
            <v>3.0805587219222113</v>
          </cell>
          <cell r="C14">
            <v>3.0805587219222113</v>
          </cell>
          <cell r="D14">
            <v>2.8402417135845561</v>
          </cell>
          <cell r="E14">
            <v>2.6090415664829618</v>
          </cell>
          <cell r="F14">
            <v>1.2356851844506809</v>
          </cell>
          <cell r="G14">
            <v>0</v>
          </cell>
        </row>
        <row r="15">
          <cell r="B15">
            <v>7.3394300010600002</v>
          </cell>
          <cell r="C15">
            <v>7.3423602840720656</v>
          </cell>
          <cell r="D15">
            <v>7.3460548711167428</v>
          </cell>
          <cell r="E15">
            <v>7.4161649750694112</v>
          </cell>
          <cell r="F15">
            <v>7.5849028726349843</v>
          </cell>
          <cell r="G15">
            <v>7.6707151468008812</v>
          </cell>
        </row>
        <row r="16">
          <cell r="B16">
            <v>4.7247299999999992</v>
          </cell>
          <cell r="C16">
            <v>4.8075703764766926</v>
          </cell>
          <cell r="D16">
            <v>4.8612140203168508</v>
          </cell>
          <cell r="E16">
            <v>4.8652426971701699</v>
          </cell>
          <cell r="F16">
            <v>5.1496742891236185</v>
          </cell>
          <cell r="G16">
            <v>5.2921337119321086</v>
          </cell>
        </row>
        <row r="17">
          <cell r="B17">
            <v>3.3394499999999998</v>
          </cell>
          <cell r="C17">
            <v>3.9714643111769536</v>
          </cell>
          <cell r="D17">
            <v>4.3598861727211204</v>
          </cell>
          <cell r="E17">
            <v>4.3598866410136878</v>
          </cell>
          <cell r="F17">
            <v>4.3599358432458191</v>
          </cell>
          <cell r="G17">
            <v>4.3599364745235141</v>
          </cell>
        </row>
        <row r="18">
          <cell r="B18">
            <v>1.2047873561833802E-2</v>
          </cell>
          <cell r="C18">
            <v>2.5746644488540693E-3</v>
          </cell>
          <cell r="D18">
            <v>2.4962895515012601E-3</v>
          </cell>
          <cell r="E18">
            <v>2.4621321449781412E-3</v>
          </cell>
          <cell r="F18">
            <v>2.6805494280490068E-3</v>
          </cell>
          <cell r="G18">
            <v>2.9435343377879751E-4</v>
          </cell>
        </row>
        <row r="19">
          <cell r="B19">
            <v>0.28264587392292551</v>
          </cell>
          <cell r="C19">
            <v>0.28264220590157774</v>
          </cell>
          <cell r="D19">
            <v>0.28264269916925777</v>
          </cell>
          <cell r="E19">
            <v>0.29177925434341417</v>
          </cell>
          <cell r="F19">
            <v>0.27827898235717258</v>
          </cell>
          <cell r="G19">
            <v>0.20404373126612765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5.2796934263374201E-2</v>
          </cell>
          <cell r="G20">
            <v>0.21741491824857398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2.5022529636189398E-3</v>
          </cell>
          <cell r="G21">
            <v>2.0228314712342991E-4</v>
          </cell>
        </row>
        <row r="22">
          <cell r="B22">
            <v>0</v>
          </cell>
          <cell r="C22">
            <v>0.25000028799066798</v>
          </cell>
          <cell r="D22">
            <v>0.14245590136653297</v>
          </cell>
          <cell r="E22">
            <v>0.14245106106009203</v>
          </cell>
          <cell r="F22">
            <v>0.142453358501136</v>
          </cell>
          <cell r="G22">
            <v>2.5011368111254501E-2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3.2269169525990602E-4</v>
          </cell>
          <cell r="G23">
            <v>3.2312074453199371E-4</v>
          </cell>
        </row>
        <row r="24">
          <cell r="B24">
            <v>4.5282160391311096E-2</v>
          </cell>
          <cell r="C24">
            <v>2.1050122833346507E-4</v>
          </cell>
          <cell r="D24">
            <v>6.5731092401487279E-4</v>
          </cell>
          <cell r="E24">
            <v>6.4075908407064397E-4</v>
          </cell>
          <cell r="F24">
            <v>2.6736300166544493E-3</v>
          </cell>
          <cell r="G24">
            <v>5.6633042214510043E-5</v>
          </cell>
        </row>
        <row r="25">
          <cell r="B25">
            <v>6.2685382161004055E-6</v>
          </cell>
          <cell r="C25">
            <v>5.4693620675866361E-5</v>
          </cell>
          <cell r="D25">
            <v>1.0474814126336385E-4</v>
          </cell>
          <cell r="E25">
            <v>1.5754203096077224E-4</v>
          </cell>
          <cell r="F25">
            <v>1.274216372190139E-2</v>
          </cell>
          <cell r="G25">
            <v>3.9050694833100801E-2</v>
          </cell>
        </row>
        <row r="26">
          <cell r="B26">
            <v>7.8399999999999997E-2</v>
          </cell>
          <cell r="C26">
            <v>7.3661021344113356E-2</v>
          </cell>
          <cell r="D26">
            <v>7.3660956310338338E-2</v>
          </cell>
          <cell r="E26">
            <v>7.4521782814045909E-2</v>
          </cell>
          <cell r="F26">
            <v>6.2988408257070819E-2</v>
          </cell>
          <cell r="G26">
            <v>5.6051452579669273E-2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2.5566122513501599E-2</v>
          </cell>
          <cell r="G27">
            <v>4.9410683795252437E-2</v>
          </cell>
        </row>
        <row r="28">
          <cell r="B28">
            <v>2.1272803974900605E-3</v>
          </cell>
          <cell r="C28">
            <v>9.5382930700791367E-4</v>
          </cell>
          <cell r="D28">
            <v>8.9427452496815968E-4</v>
          </cell>
          <cell r="E28">
            <v>6.7045166427288135E-4</v>
          </cell>
          <cell r="F28">
            <v>2.4893953472060503E-4</v>
          </cell>
          <cell r="G28">
            <v>1.0185066388425444E-4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1.34484858460821E-3</v>
          </cell>
          <cell r="G29">
            <v>9.3671492560299871E-5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5.0381185530433198E-4</v>
          </cell>
          <cell r="G30">
            <v>5.0539014722747379E-4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9.2204084532688101E-5</v>
          </cell>
          <cell r="G31">
            <v>1.7389933895091834E-2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6.0738974292339604E-4</v>
          </cell>
          <cell r="G32">
            <v>6.1347193174805705E-4</v>
          </cell>
        </row>
        <row r="33">
          <cell r="B33">
            <v>8.7120000000000003E-2</v>
          </cell>
          <cell r="C33">
            <v>9.0660054662310335E-2</v>
          </cell>
          <cell r="D33">
            <v>8.3812599266652688E-2</v>
          </cell>
          <cell r="E33">
            <v>0.41959902891599632</v>
          </cell>
          <cell r="F33">
            <v>0.87732032817528871</v>
          </cell>
          <cell r="G33">
            <v>1.7946333573857201</v>
          </cell>
        </row>
        <row r="34">
          <cell r="B34">
            <v>0</v>
          </cell>
          <cell r="C34">
            <v>0</v>
          </cell>
          <cell r="D34">
            <v>4.4924395046386699E-2</v>
          </cell>
          <cell r="E34">
            <v>3.0800358264685213</v>
          </cell>
          <cell r="F34">
            <v>4.4088737240846143</v>
          </cell>
          <cell r="G34">
            <v>13.493273153013162</v>
          </cell>
        </row>
        <row r="35">
          <cell r="B35">
            <v>1.1186210000000001</v>
          </cell>
          <cell r="C35">
            <v>1.6529270591042606</v>
          </cell>
          <cell r="D35">
            <v>3.0611844822262402</v>
          </cell>
          <cell r="E35">
            <v>5.1146857111821502</v>
          </cell>
          <cell r="F35">
            <v>11.275179516674337</v>
          </cell>
          <cell r="G35">
            <v>18.051680957067099</v>
          </cell>
        </row>
        <row r="36">
          <cell r="B36">
            <v>0.67885700000000004</v>
          </cell>
          <cell r="C36">
            <v>1.1559114705548437</v>
          </cell>
          <cell r="D36">
            <v>2.5678614778872473</v>
          </cell>
          <cell r="E36">
            <v>4.0611124064190163</v>
          </cell>
          <cell r="F36">
            <v>4.005604467038701</v>
          </cell>
          <cell r="G36">
            <v>1.0253189438045744</v>
          </cell>
        </row>
        <row r="37">
          <cell r="B37">
            <v>0.27424799999999999</v>
          </cell>
          <cell r="C37">
            <v>0.43895822001113066</v>
          </cell>
          <cell r="D37">
            <v>1.3349791144585961</v>
          </cell>
          <cell r="E37">
            <v>2.628980419395857</v>
          </cell>
          <cell r="F37">
            <v>4.565599167848382</v>
          </cell>
          <cell r="G37">
            <v>7.98531342563337</v>
          </cell>
        </row>
        <row r="38">
          <cell r="B38">
            <v>0.90292899999999998</v>
          </cell>
          <cell r="C38">
            <v>1.1231013023006211</v>
          </cell>
          <cell r="D38">
            <v>2.1799429311181502</v>
          </cell>
          <cell r="E38">
            <v>5.1607234846121894</v>
          </cell>
          <cell r="F38">
            <v>8.8437391417889586</v>
          </cell>
          <cell r="G38">
            <v>10.7420270565627</v>
          </cell>
        </row>
        <row r="39">
          <cell r="B39">
            <v>2.5376430594404406E-2</v>
          </cell>
          <cell r="C39">
            <v>1.8768728603967097E-2</v>
          </cell>
          <cell r="D39">
            <v>1.1939375246057017E-2</v>
          </cell>
          <cell r="E39">
            <v>3.7057383361055594E-2</v>
          </cell>
          <cell r="F39">
            <v>0.11453391045048855</v>
          </cell>
          <cell r="G39">
            <v>8.9788109956695561E-2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3.65816055150011E-4</v>
          </cell>
          <cell r="G40">
            <v>5.5223527873438448E-2</v>
          </cell>
        </row>
        <row r="41">
          <cell r="B41">
            <v>8.3050769567379629E-3</v>
          </cell>
          <cell r="C41">
            <v>8.7659170370973007E-3</v>
          </cell>
          <cell r="D41">
            <v>8.7659358442592934E-3</v>
          </cell>
          <cell r="E41">
            <v>1.2238286635106396E-2</v>
          </cell>
          <cell r="F41">
            <v>2.4146964874161244E-3</v>
          </cell>
          <cell r="G41">
            <v>1.8233342324364336E-4</v>
          </cell>
        </row>
        <row r="42">
          <cell r="B42">
            <v>6.4895123272302908E-3</v>
          </cell>
          <cell r="C42">
            <v>1.4687302772793313E-2</v>
          </cell>
          <cell r="D42">
            <v>4.1895606055689844E-2</v>
          </cell>
          <cell r="E42">
            <v>5.2986796225327579E-2</v>
          </cell>
          <cell r="F42">
            <v>4.1803165805646629E-2</v>
          </cell>
          <cell r="G42">
            <v>4.7557601526001039E-5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4.1252932910809899E-2</v>
          </cell>
          <cell r="G43">
            <v>0.21743984574916</v>
          </cell>
        </row>
        <row r="44">
          <cell r="B44">
            <v>4.9148341458666631E-2</v>
          </cell>
          <cell r="C44">
            <v>1.3775678429669667E-2</v>
          </cell>
          <cell r="D44">
            <v>1.3775068337312193E-2</v>
          </cell>
          <cell r="E44">
            <v>1.4511970202943078E-2</v>
          </cell>
          <cell r="F44">
            <v>1.1832502160360196E-2</v>
          </cell>
          <cell r="G44">
            <v>1.0932457449894066E-4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1.82865572876625E-2</v>
          </cell>
          <cell r="G45">
            <v>7.6631331215660958E-2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0.117613569355894</v>
          </cell>
          <cell r="F46">
            <v>8.0324549682141297E-2</v>
          </cell>
          <cell r="G46">
            <v>3.4908204100255379E-2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1.21071885432483E-4</v>
          </cell>
          <cell r="F47">
            <v>2.7795225996868442E-4</v>
          </cell>
          <cell r="G47">
            <v>1.0763681420492891E-4</v>
          </cell>
        </row>
        <row r="48">
          <cell r="B48">
            <v>4.1749985791059603E-3</v>
          </cell>
          <cell r="C48">
            <v>5.8683365762822362E-4</v>
          </cell>
          <cell r="D48">
            <v>6.059104463617545E-4</v>
          </cell>
          <cell r="E48">
            <v>3.1065317035088908E-4</v>
          </cell>
          <cell r="F48">
            <v>2.4819076771272187E-4</v>
          </cell>
          <cell r="G48">
            <v>1.0124122727367525E-4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2.3692601293891702E-5</v>
          </cell>
          <cell r="F49">
            <v>6.5337776959259789E-5</v>
          </cell>
          <cell r="G49">
            <v>4.1661298495924883E-5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9.7575702264373308E-5</v>
          </cell>
          <cell r="F50">
            <v>1.7264697146081526E-4</v>
          </cell>
          <cell r="G50">
            <v>6.9101825300452302E-5</v>
          </cell>
        </row>
        <row r="51">
          <cell r="B51">
            <v>8.4604423320026809E-3</v>
          </cell>
          <cell r="C51">
            <v>3.6412898863645484E-4</v>
          </cell>
          <cell r="D51">
            <v>4.0435226628591912E-4</v>
          </cell>
          <cell r="E51">
            <v>3.6334263463747062E-4</v>
          </cell>
          <cell r="F51">
            <v>1.624590039157614E-2</v>
          </cell>
          <cell r="G51">
            <v>1.5141186247513011E-4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7.5710711017442804E-5</v>
          </cell>
          <cell r="F52">
            <v>2.3310999741685517E-4</v>
          </cell>
          <cell r="G52">
            <v>1.5201030423248515E-4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1.59109861500206E-4</v>
          </cell>
          <cell r="F53">
            <v>3.4732379145030359E-4</v>
          </cell>
          <cell r="G53">
            <v>1.3223857606259239E-4</v>
          </cell>
        </row>
        <row r="54">
          <cell r="B54">
            <v>7.35127E-2</v>
          </cell>
          <cell r="C54">
            <v>8.4746893117450012E-2</v>
          </cell>
          <cell r="D54">
            <v>8.4746613492131473E-2</v>
          </cell>
          <cell r="E54">
            <v>8.4748070264755962E-2</v>
          </cell>
          <cell r="F54">
            <v>8.4748153433487211E-2</v>
          </cell>
          <cell r="G54">
            <v>8.4747382334733987E-2</v>
          </cell>
        </row>
        <row r="55">
          <cell r="B55">
            <v>6.5199820927239416E-2</v>
          </cell>
          <cell r="C55">
            <v>4.787691286783094E-2</v>
          </cell>
          <cell r="D55">
            <v>5.1949280243829971E-4</v>
          </cell>
          <cell r="E55">
            <v>1.1273175309449435E-4</v>
          </cell>
          <cell r="F55">
            <v>1.1302591193780055E-4</v>
          </cell>
          <cell r="G55">
            <v>3.0256286769510498E-5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8.5921460296682503E-5</v>
          </cell>
          <cell r="F56">
            <v>1.1387645089829576E-4</v>
          </cell>
          <cell r="G56">
            <v>4.4580944807765427E-5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7.3824064587983999E-5</v>
          </cell>
          <cell r="F57">
            <v>1.017476065963696E-4</v>
          </cell>
          <cell r="G57">
            <v>8.635875095819396E-5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3.4140933593956302E-5</v>
          </cell>
          <cell r="F58">
            <v>1.1972977504291162E-4</v>
          </cell>
          <cell r="G58">
            <v>5.9985083227983014E-5</v>
          </cell>
        </row>
        <row r="63">
          <cell r="B63">
            <v>0.1</v>
          </cell>
          <cell r="C63">
            <v>9.9997772652292399E-2</v>
          </cell>
          <cell r="D63">
            <v>9.9997766288969489E-2</v>
          </cell>
          <cell r="E63">
            <v>9.999780214760487E-2</v>
          </cell>
          <cell r="F63">
            <v>9.9999398356292152E-2</v>
          </cell>
          <cell r="G63">
            <v>9.9999433257765516E-2</v>
          </cell>
        </row>
        <row r="64">
          <cell r="B64">
            <v>6.4756277090413097E-4</v>
          </cell>
          <cell r="C64">
            <v>6.4920619780450578E-4</v>
          </cell>
          <cell r="D64">
            <v>6.9639261905105629E-4</v>
          </cell>
          <cell r="E64">
            <v>7.9595799047450159E-4</v>
          </cell>
          <cell r="F64">
            <v>1.0738027541642341</v>
          </cell>
          <cell r="G64">
            <v>1.1299277820019316</v>
          </cell>
        </row>
        <row r="65">
          <cell r="B65">
            <v>4.87281855759361E-4</v>
          </cell>
          <cell r="C65">
            <v>4.8846802090115845E-4</v>
          </cell>
          <cell r="D65">
            <v>5.1637757814913246E-4</v>
          </cell>
          <cell r="E65">
            <v>5.9358450545964991E-4</v>
          </cell>
          <cell r="F65">
            <v>6.1613741665935461E-3</v>
          </cell>
          <cell r="G65">
            <v>1.8589374805410279</v>
          </cell>
        </row>
        <row r="66">
          <cell r="B66">
            <v>4.7492385453984522E-4</v>
          </cell>
          <cell r="C66">
            <v>4.758890966111903E-4</v>
          </cell>
          <cell r="D66">
            <v>4.8293360692892325E-4</v>
          </cell>
          <cell r="E66">
            <v>1.6480616045467333E-3</v>
          </cell>
          <cell r="F66">
            <v>2.9278563504784444E-3</v>
          </cell>
          <cell r="G66">
            <v>2.2801009115605707E-3</v>
          </cell>
        </row>
        <row r="67">
          <cell r="B67">
            <v>1.0966315394360694E-3</v>
          </cell>
          <cell r="C67">
            <v>1.0988494464690469E-3</v>
          </cell>
          <cell r="D67">
            <v>1.1106593505603138E-3</v>
          </cell>
          <cell r="E67">
            <v>8.1048815833129007E-2</v>
          </cell>
          <cell r="F67">
            <v>0.15626305023076698</v>
          </cell>
          <cell r="G67">
            <v>0.21844911575225773</v>
          </cell>
        </row>
        <row r="68">
          <cell r="B68">
            <v>1.0974406868809465E-3</v>
          </cell>
          <cell r="C68">
            <v>1.0996554297754517E-3</v>
          </cell>
          <cell r="D68">
            <v>1.111685577915765E-3</v>
          </cell>
          <cell r="E68">
            <v>9.8326331661671207E-2</v>
          </cell>
          <cell r="F68">
            <v>0.16247059373211031</v>
          </cell>
          <cell r="G68">
            <v>0.22470104050340028</v>
          </cell>
        </row>
        <row r="69">
          <cell r="B69">
            <v>4.7634852962311536E-4</v>
          </cell>
          <cell r="C69">
            <v>4.7732128235218217E-4</v>
          </cell>
          <cell r="D69">
            <v>4.8472254719545538E-4</v>
          </cell>
          <cell r="E69">
            <v>1.6358717077501414E-3</v>
          </cell>
          <cell r="F69">
            <v>2.5503963430795113E-3</v>
          </cell>
          <cell r="G69">
            <v>1.8748359666219765E-3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5.5211982072716017E-4</v>
          </cell>
        </row>
      </sheetData>
      <sheetData sheetId="43">
        <row r="5">
          <cell r="B5">
            <v>1.3938279642449927E-5</v>
          </cell>
          <cell r="C5">
            <v>0.36346552815459621</v>
          </cell>
          <cell r="D5">
            <v>5.6407234230080206E-4</v>
          </cell>
          <cell r="E5">
            <v>4.2926835224446847E-2</v>
          </cell>
          <cell r="F5">
            <v>2.5721858333016486E-2</v>
          </cell>
          <cell r="G5">
            <v>3.5937921225333009</v>
          </cell>
        </row>
        <row r="12">
          <cell r="B12">
            <v>0.9027148946923057</v>
          </cell>
          <cell r="C12">
            <v>4.106229796414272E-4</v>
          </cell>
          <cell r="D12">
            <v>1.3217190557356178E-3</v>
          </cell>
          <cell r="E12">
            <v>3.7867195814131907E-2</v>
          </cell>
          <cell r="F12">
            <v>2.6608753063504185E-4</v>
          </cell>
          <cell r="G12">
            <v>0.26284534860180925</v>
          </cell>
        </row>
        <row r="19">
          <cell r="B19">
            <v>1.3280026863431129</v>
          </cell>
          <cell r="C19">
            <v>3.0381841286143341</v>
          </cell>
          <cell r="D19">
            <v>3.582460999477703</v>
          </cell>
          <cell r="E19">
            <v>5.9813585947065251</v>
          </cell>
          <cell r="F19">
            <v>6.5541626074392028</v>
          </cell>
          <cell r="G19">
            <v>9.4405588024012967</v>
          </cell>
        </row>
        <row r="20">
          <cell r="B20">
            <v>5.6294121054276411</v>
          </cell>
          <cell r="C20">
            <v>5.7072228590729432</v>
          </cell>
          <cell r="D20">
            <v>5.2980597680584767</v>
          </cell>
          <cell r="E20">
            <v>6.92114829865635</v>
          </cell>
          <cell r="F20">
            <v>8.408215433733881</v>
          </cell>
          <cell r="G20">
            <v>9.8448633256766271</v>
          </cell>
        </row>
        <row r="21">
          <cell r="B21">
            <v>0</v>
          </cell>
          <cell r="C21">
            <v>2.6663895165703684E-4</v>
          </cell>
          <cell r="D21">
            <v>1.9110471313840173E-4</v>
          </cell>
          <cell r="E21">
            <v>5.8996994948791947E-4</v>
          </cell>
          <cell r="F21">
            <v>8.9401441387543506E-4</v>
          </cell>
          <cell r="G21">
            <v>1.1025610180179277</v>
          </cell>
        </row>
        <row r="28">
          <cell r="B28">
            <v>2.907397355900598E-3</v>
          </cell>
          <cell r="C28">
            <v>1.7190969465676931E-2</v>
          </cell>
          <cell r="D28">
            <v>6.3177343626598284E-2</v>
          </cell>
          <cell r="E28">
            <v>22.817069799859755</v>
          </cell>
          <cell r="F28">
            <v>26.258823490733466</v>
          </cell>
          <cell r="G28">
            <v>62.297795370064719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8.7997160587583194E-5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3.0107051734722421E-4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3.1325976703681306E-4</v>
          </cell>
          <cell r="F31">
            <v>4.4042618026425426</v>
          </cell>
          <cell r="G31">
            <v>2.8380902769320926E-2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5.9040698912948129</v>
          </cell>
        </row>
        <row r="38">
          <cell r="B38">
            <v>1.2890711841623719</v>
          </cell>
          <cell r="C38">
            <v>3.6081999084619012</v>
          </cell>
          <cell r="D38">
            <v>3.0118343551394391</v>
          </cell>
          <cell r="E38">
            <v>7.2335526770065304</v>
          </cell>
          <cell r="F38">
            <v>5.957287658368041</v>
          </cell>
          <cell r="G38">
            <v>11.429622896599689</v>
          </cell>
        </row>
        <row r="39">
          <cell r="B39">
            <v>1.1764715235639756</v>
          </cell>
          <cell r="C39">
            <v>3.2930256263465325</v>
          </cell>
          <cell r="D39">
            <v>2.7487522768695252</v>
          </cell>
          <cell r="E39">
            <v>6.6017058198596761</v>
          </cell>
          <cell r="F39">
            <v>5.4369218502880656</v>
          </cell>
          <cell r="G39">
            <v>10.431251608235913</v>
          </cell>
        </row>
      </sheetData>
      <sheetData sheetId="44">
        <row r="3">
          <cell r="B3">
            <v>48.063397652170998</v>
          </cell>
          <cell r="C3">
            <v>50.54678855608153</v>
          </cell>
          <cell r="D3">
            <v>52.134519424948117</v>
          </cell>
          <cell r="E3">
            <v>53.585466039942006</v>
          </cell>
          <cell r="F3">
            <v>55.066255044596069</v>
          </cell>
          <cell r="G3">
            <v>56.762793557974888</v>
          </cell>
        </row>
        <row r="6">
          <cell r="B6">
            <v>0</v>
          </cell>
          <cell r="C6">
            <v>4.8942918584481045</v>
          </cell>
          <cell r="D6">
            <v>4.8943035219931517</v>
          </cell>
          <cell r="E6">
            <v>4.8943013861806772</v>
          </cell>
          <cell r="F6">
            <v>5.3346400267223659</v>
          </cell>
          <cell r="G6">
            <v>6.8176964436684671</v>
          </cell>
        </row>
        <row r="11">
          <cell r="B11">
            <v>60.0700184608434</v>
          </cell>
          <cell r="C11">
            <v>62.621539858066107</v>
          </cell>
          <cell r="D11">
            <v>68.591954818419964</v>
          </cell>
          <cell r="E11">
            <v>70.002328243113809</v>
          </cell>
          <cell r="F11">
            <v>72.096785663342246</v>
          </cell>
          <cell r="G11">
            <v>76.093172721494227</v>
          </cell>
        </row>
        <row r="18">
          <cell r="B18">
            <v>3.5600031186339249</v>
          </cell>
          <cell r="C18">
            <v>3.4647171643550578</v>
          </cell>
          <cell r="D18">
            <v>2.5284504089767169E-3</v>
          </cell>
          <cell r="E18">
            <v>3.0219355950569904</v>
          </cell>
          <cell r="F18">
            <v>1.3360185557488916E-3</v>
          </cell>
          <cell r="G18">
            <v>0</v>
          </cell>
        </row>
        <row r="19">
          <cell r="B19">
            <v>12.728655375668403</v>
          </cell>
          <cell r="C19">
            <v>13.638430408614038</v>
          </cell>
          <cell r="D19">
            <v>13.407411036486472</v>
          </cell>
          <cell r="E19">
            <v>14.940859314859296</v>
          </cell>
          <cell r="F19">
            <v>18.260463156323013</v>
          </cell>
          <cell r="G19">
            <v>27.135578968612844</v>
          </cell>
        </row>
        <row r="21">
          <cell r="B21">
            <v>7.7980419464774373</v>
          </cell>
          <cell r="C21">
            <v>8.0801474277403873</v>
          </cell>
          <cell r="D21">
            <v>5.608273306132654</v>
          </cell>
          <cell r="E21">
            <v>5.940961849051738</v>
          </cell>
          <cell r="F21">
            <v>5.4593536877102089</v>
          </cell>
          <cell r="G21">
            <v>2.750355444961376E-4</v>
          </cell>
        </row>
        <row r="22">
          <cell r="B22">
            <v>6.7637070992191017E-2</v>
          </cell>
          <cell r="C22">
            <v>8.5492605440850286E-2</v>
          </cell>
          <cell r="D22">
            <v>0.10033519147746132</v>
          </cell>
          <cell r="E22">
            <v>0.10588865801491035</v>
          </cell>
          <cell r="F22">
            <v>0.10047740525335749</v>
          </cell>
          <cell r="G22">
            <v>6.6193412664370954E-2</v>
          </cell>
        </row>
        <row r="23">
          <cell r="B23">
            <v>0</v>
          </cell>
          <cell r="C23">
            <v>0</v>
          </cell>
          <cell r="D23">
            <v>1.8012540781086543E-2</v>
          </cell>
          <cell r="E23">
            <v>18.717012720581117</v>
          </cell>
          <cell r="F23">
            <v>18.45885379989253</v>
          </cell>
          <cell r="G23">
            <v>19.85046255354349</v>
          </cell>
        </row>
        <row r="24">
          <cell r="B24">
            <v>0.74847848954988305</v>
          </cell>
          <cell r="C24">
            <v>0.94973014289003022</v>
          </cell>
          <cell r="D24">
            <v>2.1496497058879762</v>
          </cell>
          <cell r="E24">
            <v>2.1690444637114474</v>
          </cell>
          <cell r="F24">
            <v>3.5136281035344665</v>
          </cell>
          <cell r="G24">
            <v>4.3675495470592942</v>
          </cell>
        </row>
        <row r="33">
          <cell r="B33">
            <v>12.006620808672402</v>
          </cell>
          <cell r="C33">
            <v>12.710041579516982</v>
          </cell>
          <cell r="D33">
            <v>17.092691280658325</v>
          </cell>
          <cell r="E33">
            <v>17.052272848881536</v>
          </cell>
          <cell r="F33">
            <v>17.535639808819191</v>
          </cell>
          <cell r="G33">
            <v>17.767905363168744</v>
          </cell>
        </row>
        <row r="34">
          <cell r="B34">
            <v>8.8978052891599297</v>
          </cell>
          <cell r="C34">
            <v>7.9524270484763369</v>
          </cell>
          <cell r="D34">
            <v>7.9328110345243017</v>
          </cell>
          <cell r="E34">
            <v>6.8795518236873949</v>
          </cell>
          <cell r="F34">
            <v>3.0852006244004699</v>
          </cell>
          <cell r="G34">
            <v>0</v>
          </cell>
        </row>
        <row r="35">
          <cell r="B35">
            <v>2.730001510476991</v>
          </cell>
          <cell r="C35">
            <v>1.2921345760925566E-3</v>
          </cell>
          <cell r="D35">
            <v>1.5133397966915719E-3</v>
          </cell>
          <cell r="E35">
            <v>1.2973674270141426E-2</v>
          </cell>
          <cell r="F35">
            <v>1.5954797938384419E-3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1.639420009236819E-4</v>
          </cell>
          <cell r="E36">
            <v>1.5111813276551836E-4</v>
          </cell>
          <cell r="F36">
            <v>0.24434264043935852</v>
          </cell>
          <cell r="G36">
            <v>0.2476025610822101</v>
          </cell>
        </row>
        <row r="37">
          <cell r="B37">
            <v>35.244136281074006</v>
          </cell>
          <cell r="C37">
            <v>31.554635597617704</v>
          </cell>
          <cell r="D37">
            <v>30.546977871291336</v>
          </cell>
          <cell r="E37">
            <v>9.4648062858647339</v>
          </cell>
          <cell r="F37">
            <v>3.388435266869501</v>
          </cell>
          <cell r="G37">
            <v>9.7982848754239889E-4</v>
          </cell>
        </row>
        <row r="38">
          <cell r="B38">
            <v>0.30822698022600437</v>
          </cell>
          <cell r="C38">
            <v>3.7226437195273014E-4</v>
          </cell>
          <cell r="D38">
            <v>4.8666327373621493E-4</v>
          </cell>
          <cell r="E38">
            <v>4.440037337617889E-4</v>
          </cell>
          <cell r="F38">
            <v>1.2050063972995817</v>
          </cell>
          <cell r="G38">
            <v>2.0462843712588919E-3</v>
          </cell>
        </row>
        <row r="39">
          <cell r="B39">
            <v>0.43672663223574698</v>
          </cell>
          <cell r="C39">
            <v>0.55206543791269702</v>
          </cell>
          <cell r="D39">
            <v>2.8269147152373924</v>
          </cell>
          <cell r="E39">
            <v>2.8269202548216881</v>
          </cell>
          <cell r="F39">
            <v>6.0466041242177466</v>
          </cell>
          <cell r="G39">
            <v>6.04661235613138</v>
          </cell>
        </row>
        <row r="55">
          <cell r="B55">
            <v>9.8138954573852644</v>
          </cell>
          <cell r="C55">
            <v>10.335083438722085</v>
          </cell>
          <cell r="D55">
            <v>13.576838287652182</v>
          </cell>
          <cell r="E55">
            <v>13.576840446439899</v>
          </cell>
          <cell r="F55">
            <v>13.57684228872391</v>
          </cell>
          <cell r="G55">
            <v>13.576842545338986</v>
          </cell>
        </row>
        <row r="56">
          <cell r="B56">
            <v>1.1081544230035762</v>
          </cell>
          <cell r="C56">
            <v>1.4007931864506111</v>
          </cell>
          <cell r="D56">
            <v>3.1464429760443235</v>
          </cell>
          <cell r="E56">
            <v>3.146596786327029</v>
          </cell>
          <cell r="F56">
            <v>5.0161576483355752</v>
          </cell>
          <cell r="G56">
            <v>6.1479336551528174</v>
          </cell>
        </row>
        <row r="57">
          <cell r="B57">
            <v>6.9177066723989746</v>
          </cell>
          <cell r="C57">
            <v>6.1927130818240821</v>
          </cell>
          <cell r="D57">
            <v>6.1925319560196117</v>
          </cell>
          <cell r="E57">
            <v>5.3919733673763011</v>
          </cell>
          <cell r="F57">
            <v>2.6304712498871963</v>
          </cell>
          <cell r="G57">
            <v>0.19717295955483474</v>
          </cell>
        </row>
        <row r="58">
          <cell r="B58">
            <v>1.8458222712712538</v>
          </cell>
          <cell r="C58">
            <v>8.7742398389565105E-4</v>
          </cell>
          <cell r="D58">
            <v>1.0342731673013965E-3</v>
          </cell>
          <cell r="E58">
            <v>8.9615655021001925E-3</v>
          </cell>
          <cell r="F58">
            <v>1.1254115595787902E-3</v>
          </cell>
          <cell r="G58">
            <v>0</v>
          </cell>
        </row>
        <row r="59">
          <cell r="B59">
            <v>28.619770853635373</v>
          </cell>
          <cell r="C59">
            <v>25.424120850972859</v>
          </cell>
          <cell r="D59">
            <v>24.655051909440644</v>
          </cell>
          <cell r="E59">
            <v>7.8053751687493742</v>
          </cell>
          <cell r="F59">
            <v>3.7365416877567843</v>
          </cell>
          <cell r="G59">
            <v>1.0364259276385811E-3</v>
          </cell>
        </row>
        <row r="60">
          <cell r="B60">
            <v>0</v>
          </cell>
          <cell r="C60">
            <v>0</v>
          </cell>
          <cell r="D60">
            <v>9.5861176327871611E-3</v>
          </cell>
          <cell r="E60">
            <v>9.5942025470346307E-3</v>
          </cell>
          <cell r="F60">
            <v>1.0791872091376952E-2</v>
          </cell>
          <cell r="G60">
            <v>3.8056508665593215E-3</v>
          </cell>
        </row>
        <row r="61">
          <cell r="B61">
            <v>2.3674020738915598</v>
          </cell>
          <cell r="C61">
            <v>2.3075016314604677</v>
          </cell>
          <cell r="D61">
            <v>1.6877406479919573E-3</v>
          </cell>
          <cell r="E61">
            <v>2.0246968486881847</v>
          </cell>
          <cell r="F61">
            <v>9.018125251305019E-4</v>
          </cell>
          <cell r="G61">
            <v>0</v>
          </cell>
        </row>
        <row r="62">
          <cell r="B62">
            <v>5.1850610827838395</v>
          </cell>
          <cell r="C62">
            <v>5.5675610746181707</v>
          </cell>
          <cell r="D62">
            <v>5.6486972600020611</v>
          </cell>
          <cell r="E62">
            <v>7.2478647296218481</v>
          </cell>
          <cell r="F62">
            <v>7.635861042309811</v>
          </cell>
          <cell r="G62">
            <v>13.700797984785204</v>
          </cell>
        </row>
        <row r="63">
          <cell r="B63">
            <v>6.5822786638558037</v>
          </cell>
          <cell r="C63">
            <v>7.0678495741628637</v>
          </cell>
          <cell r="D63">
            <v>6.8125060785707481</v>
          </cell>
          <cell r="E63">
            <v>6.7125271556264732</v>
          </cell>
          <cell r="F63">
            <v>9.6082723127741083</v>
          </cell>
          <cell r="G63">
            <v>11.272208957813309</v>
          </cell>
        </row>
        <row r="64">
          <cell r="B64">
            <v>5.3111197026732508</v>
          </cell>
          <cell r="C64">
            <v>6.2669387472082114</v>
          </cell>
          <cell r="D64">
            <v>5.7741594157643759</v>
          </cell>
          <cell r="E64">
            <v>5.8614337811935178</v>
          </cell>
          <cell r="F64">
            <v>7.5952431878231819</v>
          </cell>
          <cell r="G64">
            <v>5.7825407660602908</v>
          </cell>
        </row>
        <row r="65">
          <cell r="B65">
            <v>0.46151876924203794</v>
          </cell>
          <cell r="C65">
            <v>0.544575170185297</v>
          </cell>
          <cell r="D65">
            <v>0.54618344961655574</v>
          </cell>
          <cell r="E65">
            <v>0.54619875441867294</v>
          </cell>
          <cell r="F65">
            <v>0.54621864418822974</v>
          </cell>
          <cell r="G65">
            <v>0.54624041584368543</v>
          </cell>
        </row>
        <row r="66">
          <cell r="B66">
            <v>4.1173661477400847</v>
          </cell>
          <cell r="C66">
            <v>4.2663178418469228</v>
          </cell>
          <cell r="D66">
            <v>2.96116830563804</v>
          </cell>
          <cell r="E66">
            <v>3.1368278562993241</v>
          </cell>
          <cell r="F66">
            <v>2.8825387471109885</v>
          </cell>
          <cell r="G66">
            <v>1.4961933620589877E-4</v>
          </cell>
        </row>
        <row r="67">
          <cell r="B67">
            <v>6.7637070992191017E-2</v>
          </cell>
          <cell r="C67">
            <v>8.5492605440850286E-2</v>
          </cell>
          <cell r="D67">
            <v>0.10033519147746132</v>
          </cell>
          <cell r="E67">
            <v>0.10588865801491035</v>
          </cell>
          <cell r="F67">
            <v>0.10047740525335749</v>
          </cell>
          <cell r="G67">
            <v>6.6193412664370954E-2</v>
          </cell>
        </row>
        <row r="68">
          <cell r="B68">
            <v>0.310512635519616</v>
          </cell>
          <cell r="C68">
            <v>0.39251852635592699</v>
          </cell>
          <cell r="D68">
            <v>2.0099363625337863</v>
          </cell>
          <cell r="E68">
            <v>2.0099403011782204</v>
          </cell>
          <cell r="F68">
            <v>4.2991355323188127</v>
          </cell>
          <cell r="G68">
            <v>4.3535608964145958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14.911434159683969</v>
          </cell>
          <cell r="F69">
            <v>14.913688459375546</v>
          </cell>
          <cell r="G69">
            <v>16.119491744926083</v>
          </cell>
        </row>
        <row r="70">
          <cell r="B70">
            <v>0</v>
          </cell>
          <cell r="C70">
            <v>4.259000499812065</v>
          </cell>
          <cell r="D70">
            <v>4.2590465537030502</v>
          </cell>
          <cell r="E70">
            <v>4.2590393321013433</v>
          </cell>
          <cell r="F70">
            <v>4.8296928725493551</v>
          </cell>
          <cell r="G70">
            <v>6.3074294649990259</v>
          </cell>
        </row>
        <row r="71">
          <cell r="B71">
            <v>72.708245824392819</v>
          </cell>
          <cell r="C71">
            <v>74.111343653044301</v>
          </cell>
          <cell r="D71">
            <v>75.695205877910908</v>
          </cell>
          <cell r="E71">
            <v>76.7551931137682</v>
          </cell>
          <cell r="F71">
            <v>77.383960174582953</v>
          </cell>
          <cell r="G71">
            <v>78.0754044996836</v>
          </cell>
        </row>
      </sheetData>
      <sheetData sheetId="45">
        <row r="3">
          <cell r="B3">
            <v>56.994774574912441</v>
          </cell>
          <cell r="C3">
            <v>58.701895143456724</v>
          </cell>
          <cell r="D3">
            <v>54.82389213293677</v>
          </cell>
          <cell r="E3">
            <v>52.275228960837715</v>
          </cell>
          <cell r="F3">
            <v>48.885318271370494</v>
          </cell>
          <cell r="G3">
            <v>45.119040401689716</v>
          </cell>
        </row>
        <row r="6">
          <cell r="B6">
            <v>0</v>
          </cell>
          <cell r="C6">
            <v>9.1171410111016762</v>
          </cell>
          <cell r="D6">
            <v>2.3471219762244577</v>
          </cell>
          <cell r="E6">
            <v>4.7612941833320912</v>
          </cell>
          <cell r="F6">
            <v>9.2838213356826653</v>
          </cell>
          <cell r="G6">
            <v>13.894785932666052</v>
          </cell>
        </row>
        <row r="11">
          <cell r="B11">
            <v>60.950008894441517</v>
          </cell>
          <cell r="C11">
            <v>60.129618322945426</v>
          </cell>
          <cell r="D11">
            <v>57.407795996813171</v>
          </cell>
          <cell r="E11">
            <v>55.212030209167871</v>
          </cell>
          <cell r="F11">
            <v>53.471724395945145</v>
          </cell>
          <cell r="G11">
            <v>50.001047863474831</v>
          </cell>
        </row>
        <row r="12">
          <cell r="B12">
            <v>30.256635661183736</v>
          </cell>
          <cell r="C12">
            <v>27.09401361005397</v>
          </cell>
          <cell r="D12">
            <v>25.106825234365516</v>
          </cell>
          <cell r="E12">
            <v>15.177256016888562</v>
          </cell>
          <cell r="F12">
            <v>5.2032089931731997</v>
          </cell>
          <cell r="G12">
            <v>0</v>
          </cell>
        </row>
        <row r="13">
          <cell r="B13">
            <v>0</v>
          </cell>
          <cell r="C13">
            <v>0</v>
          </cell>
          <cell r="D13">
            <v>2.2527931419774112E-4</v>
          </cell>
          <cell r="E13">
            <v>5.0319021010129068E-4</v>
          </cell>
          <cell r="F13">
            <v>4.7554736155998843E-4</v>
          </cell>
          <cell r="G13">
            <v>0.23451223253958195</v>
          </cell>
        </row>
        <row r="14">
          <cell r="B14">
            <v>25.262645496231876</v>
          </cell>
          <cell r="C14">
            <v>25.35908680657657</v>
          </cell>
          <cell r="D14">
            <v>22.701822303928495</v>
          </cell>
          <cell r="E14">
            <v>17.124560497953123</v>
          </cell>
          <cell r="F14">
            <v>9.7244060808822397</v>
          </cell>
          <cell r="G14">
            <v>3.5515870294402703</v>
          </cell>
        </row>
        <row r="15">
          <cell r="B15">
            <v>0.28604332139992306</v>
          </cell>
          <cell r="C15">
            <v>1.3906948351436641</v>
          </cell>
          <cell r="D15">
            <v>1.1537774948916923</v>
          </cell>
          <cell r="E15">
            <v>2.2841203560893688</v>
          </cell>
          <cell r="F15">
            <v>1.0736595988241111</v>
          </cell>
          <cell r="G15">
            <v>2.9165509335623514</v>
          </cell>
        </row>
        <row r="16">
          <cell r="B16">
            <v>1.4022783150733571</v>
          </cell>
          <cell r="C16">
            <v>1.5372243089733524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B17">
            <v>7.7268893434500798</v>
          </cell>
          <cell r="C17">
            <v>8.3696963150008603</v>
          </cell>
          <cell r="D17">
            <v>5.8897464898140068</v>
          </cell>
          <cell r="E17">
            <v>7.5206424466177531</v>
          </cell>
          <cell r="F17">
            <v>8.8088336919783856</v>
          </cell>
          <cell r="G17">
            <v>8.5380403147564774</v>
          </cell>
        </row>
        <row r="19">
          <cell r="B19">
            <v>0.62699543143269842</v>
          </cell>
          <cell r="C19">
            <v>0.68733497560772716</v>
          </cell>
          <cell r="D19">
            <v>0.5235588634146302</v>
          </cell>
          <cell r="E19">
            <v>0.61153554282192013</v>
          </cell>
          <cell r="F19">
            <v>0.73497390536342855</v>
          </cell>
          <cell r="G19">
            <v>0.77999180878400287</v>
          </cell>
        </row>
        <row r="20">
          <cell r="B20">
            <v>0</v>
          </cell>
          <cell r="C20">
            <v>0</v>
          </cell>
          <cell r="D20">
            <v>8.0499957631101765E-3</v>
          </cell>
          <cell r="E20">
            <v>0.58080894546255379</v>
          </cell>
          <cell r="F20">
            <v>3.0735493826476994E-2</v>
          </cell>
          <cell r="G20">
            <v>0.18141289992880646</v>
          </cell>
        </row>
        <row r="21">
          <cell r="B21">
            <v>2.9295852157077618</v>
          </cell>
          <cell r="C21">
            <v>3.1924507253508825</v>
          </cell>
          <cell r="D21">
            <v>3.8523188224593889</v>
          </cell>
          <cell r="E21">
            <v>8.0357110711862312</v>
          </cell>
          <cell r="F21">
            <v>16.162760029645945</v>
          </cell>
          <cell r="G21">
            <v>19.145223650922411</v>
          </cell>
        </row>
        <row r="28">
          <cell r="B28">
            <v>3.9552343195290782</v>
          </cell>
          <cell r="C28">
            <v>1.4277231794886986</v>
          </cell>
          <cell r="D28">
            <v>2.5839038638763947</v>
          </cell>
          <cell r="E28">
            <v>2.9368012483301564</v>
          </cell>
          <cell r="F28">
            <v>4.5864061245746592</v>
          </cell>
          <cell r="G28">
            <v>4.8820074617851175</v>
          </cell>
        </row>
        <row r="47">
          <cell r="B47">
            <v>4.2612148592112895</v>
          </cell>
          <cell r="C47">
            <v>4.6176519420253834</v>
          </cell>
          <cell r="D47">
            <v>4.3748286267420902</v>
          </cell>
          <cell r="E47">
            <v>7.3491092704818737</v>
          </cell>
          <cell r="F47">
            <v>14.96843742172436</v>
          </cell>
          <cell r="G47">
            <v>17.812712624437616</v>
          </cell>
        </row>
        <row r="48">
          <cell r="B48">
            <v>24.843070947295473</v>
          </cell>
          <cell r="C48">
            <v>22.290362293924712</v>
          </cell>
          <cell r="D48">
            <v>19.882178779790753</v>
          </cell>
          <cell r="E48">
            <v>12.401761825892178</v>
          </cell>
          <cell r="F48">
            <v>4.2519357046201005</v>
          </cell>
          <cell r="G48">
            <v>0.19237240666837704</v>
          </cell>
        </row>
        <row r="49">
          <cell r="B49">
            <v>24.189716008183314</v>
          </cell>
          <cell r="C49">
            <v>25.326920916096864</v>
          </cell>
          <cell r="D49">
            <v>19.477091580797151</v>
          </cell>
          <cell r="E49">
            <v>14.742854205581388</v>
          </cell>
          <cell r="F49">
            <v>5.236893577808595</v>
          </cell>
          <cell r="G49">
            <v>1.8220261726672842</v>
          </cell>
        </row>
        <row r="50">
          <cell r="B50">
            <v>0</v>
          </cell>
          <cell r="C50">
            <v>0</v>
          </cell>
          <cell r="D50">
            <v>2.0826414667342705</v>
          </cell>
          <cell r="E50">
            <v>5.9606314339388238</v>
          </cell>
          <cell r="F50">
            <v>10.126130383678705</v>
          </cell>
          <cell r="G50">
            <v>10.459563341300694</v>
          </cell>
        </row>
        <row r="51">
          <cell r="B51">
            <v>2.0957176223053837</v>
          </cell>
          <cell r="C51">
            <v>2.2700621242848671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5.5539028277101927</v>
          </cell>
          <cell r="C52">
            <v>6.0159372275659839</v>
          </cell>
          <cell r="D52">
            <v>4.8413445948101392</v>
          </cell>
          <cell r="E52">
            <v>6.1870254422191504</v>
          </cell>
          <cell r="F52">
            <v>7.2467849063955949</v>
          </cell>
          <cell r="G52">
            <v>7.0240106518889434</v>
          </cell>
        </row>
        <row r="53">
          <cell r="B53">
            <v>6.1735457710597021</v>
          </cell>
          <cell r="C53">
            <v>4.7454747500016268</v>
          </cell>
          <cell r="D53">
            <v>7.3166302620376023</v>
          </cell>
          <cell r="E53">
            <v>7.7007279064040768</v>
          </cell>
          <cell r="F53">
            <v>6.469788042737048</v>
          </cell>
          <cell r="G53">
            <v>4.9038844022405721</v>
          </cell>
        </row>
        <row r="54">
          <cell r="B54">
            <v>1.8770718037536425</v>
          </cell>
          <cell r="C54">
            <v>2.1600825784416551</v>
          </cell>
          <cell r="D54">
            <v>0.41069854048760784</v>
          </cell>
          <cell r="E54">
            <v>0.76196457757119362</v>
          </cell>
          <cell r="F54">
            <v>1.2262372589461954</v>
          </cell>
          <cell r="G54">
            <v>1.2528713555650488</v>
          </cell>
        </row>
        <row r="55">
          <cell r="B55">
            <v>0.62699543143269842</v>
          </cell>
          <cell r="C55">
            <v>0.68733497560772716</v>
          </cell>
          <cell r="D55">
            <v>0.5235588634146302</v>
          </cell>
          <cell r="E55">
            <v>0.61153554282192013</v>
          </cell>
          <cell r="F55">
            <v>0.73497390536342855</v>
          </cell>
          <cell r="G55">
            <v>0.77999180878400287</v>
          </cell>
        </row>
        <row r="56">
          <cell r="B56">
            <v>1.223067146406982</v>
          </cell>
          <cell r="C56">
            <v>1.3407670422865576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B58">
            <v>0</v>
          </cell>
          <cell r="C58">
            <v>9.1171410111016762</v>
          </cell>
          <cell r="D58">
            <v>2.3471219762244577</v>
          </cell>
          <cell r="E58">
            <v>4.7612941833320912</v>
          </cell>
          <cell r="F58">
            <v>9.2838213356826653</v>
          </cell>
          <cell r="G58">
            <v>13.894785932666052</v>
          </cell>
        </row>
        <row r="59">
          <cell r="B59">
            <v>73.238341684231997</v>
          </cell>
          <cell r="C59">
            <v>78.574042457312061</v>
          </cell>
          <cell r="D59">
            <v>61.753772659228986</v>
          </cell>
          <cell r="E59">
            <v>60.780566941705018</v>
          </cell>
          <cell r="F59">
            <v>59.763732796131762</v>
          </cell>
          <cell r="G59">
            <v>58.300256348412709</v>
          </cell>
        </row>
      </sheetData>
      <sheetData sheetId="46">
        <row r="3">
          <cell r="B3">
            <v>44.57690787424275</v>
          </cell>
          <cell r="C3">
            <v>44.861180885412296</v>
          </cell>
          <cell r="D3">
            <v>47.870106277525458</v>
          </cell>
          <cell r="E3">
            <v>45.589406308401301</v>
          </cell>
          <cell r="F3">
            <v>43.701879522448124</v>
          </cell>
          <cell r="G3">
            <v>40.823154933903581</v>
          </cell>
        </row>
        <row r="10">
          <cell r="B10">
            <v>5.6054106261078943E-2</v>
          </cell>
          <cell r="C10">
            <v>7.496151946635603</v>
          </cell>
          <cell r="D10">
            <v>5.1241388735673796</v>
          </cell>
          <cell r="E10">
            <v>10.495391660778365</v>
          </cell>
          <cell r="F10">
            <v>20.056977360807366</v>
          </cell>
          <cell r="G10">
            <v>29.777751361047393</v>
          </cell>
        </row>
        <row r="15">
          <cell r="B15">
            <v>69.470031708054861</v>
          </cell>
          <cell r="C15">
            <v>68.680860969460895</v>
          </cell>
          <cell r="D15">
            <v>67.556163323626564</v>
          </cell>
          <cell r="E15">
            <v>65.746840480804252</v>
          </cell>
          <cell r="F15">
            <v>66.626446275086096</v>
          </cell>
          <cell r="G15">
            <v>62.453182843331845</v>
          </cell>
        </row>
        <row r="16">
          <cell r="B16">
            <v>60.231829333469676</v>
          </cell>
          <cell r="C16">
            <v>51.320009450466159</v>
          </cell>
          <cell r="D16">
            <v>47.659467959492012</v>
          </cell>
          <cell r="E16">
            <v>23.571732737125455</v>
          </cell>
          <cell r="F16">
            <v>5.6441230074329782</v>
          </cell>
          <cell r="G16">
            <v>0</v>
          </cell>
        </row>
        <row r="17">
          <cell r="B17">
            <v>0</v>
          </cell>
          <cell r="C17">
            <v>0</v>
          </cell>
          <cell r="D17">
            <v>2.2900698922804258E-4</v>
          </cell>
          <cell r="E17">
            <v>5.0998313107736477E-4</v>
          </cell>
          <cell r="F17">
            <v>4.7853365707182269E-4</v>
          </cell>
          <cell r="G17">
            <v>0.3646505232045873</v>
          </cell>
        </row>
        <row r="18">
          <cell r="B18">
            <v>46.694621986603458</v>
          </cell>
          <cell r="C18">
            <v>46.486516565245083</v>
          </cell>
          <cell r="D18">
            <v>45.292375048053763</v>
          </cell>
          <cell r="E18">
            <v>34.142415419054686</v>
          </cell>
          <cell r="F18">
            <v>20.057412992383956</v>
          </cell>
          <cell r="G18">
            <v>9.2863036016955451</v>
          </cell>
        </row>
        <row r="19">
          <cell r="B19">
            <v>0.30730396342642002</v>
          </cell>
          <cell r="C19">
            <v>1.7804288422757872</v>
          </cell>
          <cell r="D19">
            <v>1.5518133311875446</v>
          </cell>
          <cell r="E19">
            <v>4.2167919113372863</v>
          </cell>
          <cell r="F19">
            <v>1.8073764226541489</v>
          </cell>
          <cell r="G19">
            <v>4.9664543289698813</v>
          </cell>
        </row>
        <row r="20">
          <cell r="B20">
            <v>0.1000006114602353</v>
          </cell>
          <cell r="C20">
            <v>9.9999724143164895E-2</v>
          </cell>
          <cell r="D20">
            <v>2.6577573555439486E-2</v>
          </cell>
          <cell r="E20">
            <v>2.2480217717257934E-4</v>
          </cell>
          <cell r="F20">
            <v>0</v>
          </cell>
          <cell r="G20">
            <v>0</v>
          </cell>
        </row>
        <row r="21">
          <cell r="B21">
            <v>8.4082924617096175</v>
          </cell>
          <cell r="C21">
            <v>9.6753784374728049</v>
          </cell>
          <cell r="D21">
            <v>8.6836177073239789</v>
          </cell>
          <cell r="E21">
            <v>11.385497483391241</v>
          </cell>
          <cell r="F21">
            <v>12.67384171222651</v>
          </cell>
          <cell r="G21">
            <v>12.183202131020225</v>
          </cell>
        </row>
        <row r="22">
          <cell r="B22">
            <v>16.991201414665397</v>
          </cell>
          <cell r="C22">
            <v>19.553930958641157</v>
          </cell>
          <cell r="D22">
            <v>18.406550939847765</v>
          </cell>
          <cell r="E22">
            <v>17.45557949183312</v>
          </cell>
          <cell r="F22">
            <v>13.607620798398859</v>
          </cell>
          <cell r="G22">
            <v>9.2382606218777052</v>
          </cell>
        </row>
        <row r="23">
          <cell r="B23">
            <v>2.5068265212906917</v>
          </cell>
          <cell r="C23">
            <v>2.9280060131001555</v>
          </cell>
          <cell r="D23">
            <v>0.92974273704914623</v>
          </cell>
          <cell r="E23">
            <v>1.0806288398657515</v>
          </cell>
          <cell r="F23">
            <v>1.2241456849873968</v>
          </cell>
          <cell r="G23">
            <v>1.2248217758397495</v>
          </cell>
        </row>
        <row r="24">
          <cell r="B24">
            <v>0</v>
          </cell>
          <cell r="C24">
            <v>0</v>
          </cell>
          <cell r="D24">
            <v>1.5327256206505773E-2</v>
          </cell>
          <cell r="E24">
            <v>1.1613845601921249</v>
          </cell>
          <cell r="F24">
            <v>7.3313588026844331E-2</v>
          </cell>
          <cell r="G24">
            <v>0.39626400765181435</v>
          </cell>
        </row>
        <row r="25">
          <cell r="B25">
            <v>15.194983029473594</v>
          </cell>
          <cell r="C25">
            <v>17.636033972114557</v>
          </cell>
          <cell r="D25">
            <v>25.66361370519186</v>
          </cell>
          <cell r="E25">
            <v>40.252038232254968</v>
          </cell>
          <cell r="F25">
            <v>59.498982329292872</v>
          </cell>
          <cell r="G25">
            <v>64.336556164777789</v>
          </cell>
        </row>
        <row r="26">
          <cell r="B26">
            <v>219.90509103015395</v>
          </cell>
          <cell r="C26">
            <v>218.16116493291975</v>
          </cell>
          <cell r="D26">
            <v>215.7854785885238</v>
          </cell>
          <cell r="E26">
            <v>199.01364394116709</v>
          </cell>
          <cell r="F26">
            <v>181.21374134414674</v>
          </cell>
          <cell r="G26">
            <v>164.44969599836912</v>
          </cell>
        </row>
        <row r="102">
          <cell r="B102">
            <v>8.9080097057734573</v>
          </cell>
          <cell r="C102">
            <v>6.6026870665618453</v>
          </cell>
          <cell r="D102">
            <v>0.81178184232863593</v>
          </cell>
          <cell r="E102">
            <v>0.20420790743374562</v>
          </cell>
          <cell r="F102">
            <v>1.5476153937457061E-2</v>
          </cell>
          <cell r="G102">
            <v>1.3824589572568857E-2</v>
          </cell>
        </row>
        <row r="104">
          <cell r="B104">
            <v>19.060342202490652</v>
          </cell>
          <cell r="C104">
            <v>22.071181803587166</v>
          </cell>
          <cell r="D104">
            <v>30.996375897602888</v>
          </cell>
          <cell r="E104">
            <v>40.302263589126888</v>
          </cell>
          <cell r="F104">
            <v>53.189357174312562</v>
          </cell>
          <cell r="G104">
            <v>53.738234572991153</v>
          </cell>
        </row>
        <row r="105">
          <cell r="B105">
            <v>45.124393381115368</v>
          </cell>
          <cell r="C105">
            <v>39.025431443865401</v>
          </cell>
          <cell r="D105">
            <v>33.114497063861265</v>
          </cell>
          <cell r="E105">
            <v>17.047219251899133</v>
          </cell>
          <cell r="F105">
            <v>3.7660433820976253</v>
          </cell>
          <cell r="G105">
            <v>0.24121827558968489</v>
          </cell>
        </row>
        <row r="106">
          <cell r="B106">
            <v>36.569923069151031</v>
          </cell>
          <cell r="C106">
            <v>38.871966262504664</v>
          </cell>
          <cell r="D106">
            <v>31.618399704062792</v>
          </cell>
          <cell r="E106">
            <v>23.033788523392897</v>
          </cell>
          <cell r="F106">
            <v>6.5549484186897553</v>
          </cell>
          <cell r="G106">
            <v>2.4572630912545104</v>
          </cell>
        </row>
        <row r="107">
          <cell r="B107">
            <v>0</v>
          </cell>
          <cell r="C107">
            <v>0</v>
          </cell>
          <cell r="D107">
            <v>4.8976395128412635</v>
          </cell>
          <cell r="E107">
            <v>13.786633960695747</v>
          </cell>
          <cell r="F107">
            <v>19.91080138506069</v>
          </cell>
          <cell r="G107">
            <v>18.535334560524937</v>
          </cell>
        </row>
        <row r="108">
          <cell r="B108">
            <v>7.200044025136941E-2</v>
          </cell>
          <cell r="C108">
            <v>7.1999801383078724E-2</v>
          </cell>
          <cell r="D108">
            <v>2.1220623355085004E-2</v>
          </cell>
          <cell r="E108">
            <v>1.7984174173806333E-4</v>
          </cell>
          <cell r="F108">
            <v>0</v>
          </cell>
          <cell r="G108">
            <v>0</v>
          </cell>
        </row>
        <row r="109">
          <cell r="B109">
            <v>8.1989253690357505E-2</v>
          </cell>
          <cell r="C109">
            <v>8.9794271017617708E-3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B110">
            <v>6.5488724497289361</v>
          </cell>
          <cell r="C110">
            <v>7.6930345793848627</v>
          </cell>
          <cell r="D110">
            <v>6.0597818099630105</v>
          </cell>
          <cell r="E110">
            <v>7.7073246099754371</v>
          </cell>
          <cell r="F110">
            <v>8.2660691951899068</v>
          </cell>
          <cell r="G110">
            <v>7.6602125163084471</v>
          </cell>
        </row>
        <row r="111">
          <cell r="B111">
            <v>9.1310750385225887</v>
          </cell>
          <cell r="C111">
            <v>10.459774795625556</v>
          </cell>
          <cell r="D111">
            <v>10.728917516400948</v>
          </cell>
          <cell r="E111">
            <v>9.8608381861380874</v>
          </cell>
          <cell r="F111">
            <v>7.1586609299812434</v>
          </cell>
          <cell r="G111">
            <v>4.5601676700659626</v>
          </cell>
        </row>
        <row r="112">
          <cell r="B112">
            <v>2.6968865165683455</v>
          </cell>
          <cell r="C112">
            <v>3.1682217547639331</v>
          </cell>
          <cell r="D112">
            <v>0.34664824189932619</v>
          </cell>
          <cell r="E112">
            <v>0.50569427102278608</v>
          </cell>
          <cell r="F112">
            <v>0.59250858518499661</v>
          </cell>
          <cell r="G112">
            <v>0.50810470219749693</v>
          </cell>
        </row>
        <row r="113">
          <cell r="B113">
            <v>0.78533849663084077</v>
          </cell>
          <cell r="C113">
            <v>0.94128057904701135</v>
          </cell>
          <cell r="D113">
            <v>3.0091799113043816E-2</v>
          </cell>
          <cell r="E113">
            <v>3.3799893805658024E-2</v>
          </cell>
          <cell r="F113">
            <v>3.2338580219710818E-2</v>
          </cell>
          <cell r="G113">
            <v>2.8895692519828275E-2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129.03488466018402</v>
          </cell>
          <cell r="C116">
            <v>136.41070946046085</v>
          </cell>
          <cell r="D116">
            <v>123.74949288499565</v>
          </cell>
          <cell r="E116">
            <v>122.97734169601051</v>
          </cell>
          <cell r="F116">
            <v>119.54318116548133</v>
          </cell>
          <cell r="G116">
            <v>117.52100703207199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26.978312413416127</v>
          </cell>
          <cell r="C224">
            <v>25.930395017977361</v>
          </cell>
          <cell r="D224">
            <v>21.22589069909899</v>
          </cell>
          <cell r="E224">
            <v>22.083284711211103</v>
          </cell>
          <cell r="F224">
            <v>26.668879740739225</v>
          </cell>
          <cell r="G224">
            <v>28.401767501538462</v>
          </cell>
        </row>
        <row r="231">
          <cell r="B231">
            <v>15.552711410035883</v>
          </cell>
          <cell r="C231">
            <v>13.571396364863277</v>
          </cell>
          <cell r="D231">
            <v>3.5771700351073652</v>
          </cell>
          <cell r="E231">
            <v>2.2167078742188346</v>
          </cell>
          <cell r="F231">
            <v>1.7416272319530195</v>
          </cell>
          <cell r="G231">
            <v>1.5708264533635294</v>
          </cell>
        </row>
        <row r="233">
          <cell r="B233">
            <v>22.300239725896855</v>
          </cell>
          <cell r="C233">
            <v>25.706641767349566</v>
          </cell>
          <cell r="D233">
            <v>35.722850981042043</v>
          </cell>
          <cell r="E233">
            <v>47.475383644457921</v>
          </cell>
          <cell r="F233">
            <v>65.439230373272778</v>
          </cell>
          <cell r="G233">
            <v>68.771848906453812</v>
          </cell>
        </row>
        <row r="234">
          <cell r="B234">
            <v>52.108852919658219</v>
          </cell>
          <cell r="C234">
            <v>44.568266525896689</v>
          </cell>
          <cell r="D234">
            <v>37.449772937979418</v>
          </cell>
          <cell r="E234">
            <v>19.147571252838393</v>
          </cell>
          <cell r="F234">
            <v>4.4988753640534007</v>
          </cell>
          <cell r="G234">
            <v>0.29334335079695273</v>
          </cell>
        </row>
        <row r="235">
          <cell r="B235">
            <v>42.950375634975288</v>
          </cell>
          <cell r="C235">
            <v>44.4131772451138</v>
          </cell>
          <cell r="D235">
            <v>36.792384264110254</v>
          </cell>
          <cell r="E235">
            <v>26.540009385801255</v>
          </cell>
          <cell r="F235">
            <v>8.0517620258972009</v>
          </cell>
          <cell r="G235">
            <v>3.1090403781816232</v>
          </cell>
        </row>
        <row r="236">
          <cell r="B236">
            <v>0</v>
          </cell>
          <cell r="C236">
            <v>0</v>
          </cell>
          <cell r="D236">
            <v>5.9089450277442594</v>
          </cell>
          <cell r="E236">
            <v>17.055283727579987</v>
          </cell>
          <cell r="F236">
            <v>25.781128620629481</v>
          </cell>
          <cell r="G236">
            <v>25.060656339666153</v>
          </cell>
        </row>
        <row r="238">
          <cell r="B238">
            <v>9.8274287711169792E-2</v>
          </cell>
          <cell r="C238">
            <v>1.068551187371254E-2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</row>
        <row r="239">
          <cell r="B239">
            <v>7.849635730787301</v>
          </cell>
          <cell r="C239">
            <v>9.154705685707901</v>
          </cell>
          <cell r="D239">
            <v>7.0728237973580113</v>
          </cell>
          <cell r="E239">
            <v>9.2366018472349669</v>
          </cell>
          <cell r="F239">
            <v>10.217355405793775</v>
          </cell>
          <cell r="G239">
            <v>9.776854184908899</v>
          </cell>
        </row>
        <row r="240">
          <cell r="B240">
            <v>9.6515465121718051</v>
          </cell>
          <cell r="C240">
            <v>11.05701545746226</v>
          </cell>
          <cell r="D240">
            <v>11.951752197153112</v>
          </cell>
          <cell r="E240">
            <v>11.176645935179028</v>
          </cell>
          <cell r="F240">
            <v>8.4250615428062616</v>
          </cell>
          <cell r="G240">
            <v>5.6414415768448514</v>
          </cell>
        </row>
        <row r="241">
          <cell r="B241">
            <v>2.8666797845604917</v>
          </cell>
          <cell r="C241">
            <v>3.3630581590521982</v>
          </cell>
          <cell r="D241">
            <v>0.42458210962856135</v>
          </cell>
          <cell r="E241">
            <v>0.63622239752534493</v>
          </cell>
          <cell r="F241">
            <v>0.77589729601985513</v>
          </cell>
          <cell r="G241">
            <v>0.69619020650747365</v>
          </cell>
        </row>
        <row r="242">
          <cell r="B242">
            <v>2.5068265212906917</v>
          </cell>
          <cell r="C242">
            <v>2.9280060131001555</v>
          </cell>
          <cell r="D242">
            <v>0.92974273704914623</v>
          </cell>
          <cell r="E242">
            <v>1.0806288398657515</v>
          </cell>
          <cell r="F242">
            <v>1.2241456849873968</v>
          </cell>
          <cell r="G242">
            <v>1.2248217758397495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5.6054106261078943E-2</v>
          </cell>
          <cell r="C244">
            <v>7.496151946635603</v>
          </cell>
          <cell r="D244">
            <v>5.1241388735673796</v>
          </cell>
          <cell r="E244">
            <v>10.495391660778365</v>
          </cell>
          <cell r="F244">
            <v>20.056977360807366</v>
          </cell>
          <cell r="G244">
            <v>29.777751361047393</v>
          </cell>
        </row>
        <row r="245">
          <cell r="B245">
            <v>156.01319707360017</v>
          </cell>
          <cell r="C245">
            <v>162.34110447843821</v>
          </cell>
          <cell r="D245">
            <v>144.97538358409463</v>
          </cell>
          <cell r="E245">
            <v>145.06062640722158</v>
          </cell>
          <cell r="F245">
            <v>146.21206090622053</v>
          </cell>
          <cell r="G245">
            <v>145.92277453361044</v>
          </cell>
        </row>
      </sheetData>
      <sheetData sheetId="47">
        <row r="21">
          <cell r="B21">
            <v>68.628837148067163</v>
          </cell>
          <cell r="C21">
            <v>76.131732490154505</v>
          </cell>
          <cell r="D21">
            <v>65.014469149848381</v>
          </cell>
          <cell r="E21">
            <v>36.316015177256944</v>
          </cell>
          <cell r="F21">
            <v>9.8928638389179806</v>
          </cell>
          <cell r="G21">
            <v>3.3187512608017711</v>
          </cell>
        </row>
        <row r="22">
          <cell r="B22">
            <v>123.76170239590581</v>
          </cell>
          <cell r="C22">
            <v>111.02999754410665</v>
          </cell>
          <cell r="D22">
            <v>83.001936829208987</v>
          </cell>
          <cell r="E22">
            <v>47.326588883620666</v>
          </cell>
          <cell r="F22">
            <v>30.533309007057625</v>
          </cell>
          <cell r="G22">
            <v>12.827571053424519</v>
          </cell>
        </row>
        <row r="24">
          <cell r="B24">
            <v>0.28533565456388199</v>
          </cell>
          <cell r="C24">
            <v>0.18838642124408084</v>
          </cell>
          <cell r="D24">
            <v>0.28016794809067075</v>
          </cell>
          <cell r="E24">
            <v>3.4699017424743427E-2</v>
          </cell>
          <cell r="F24">
            <v>5.3819446396437334E-3</v>
          </cell>
          <cell r="G24">
            <v>2.567305997454337E-4</v>
          </cell>
        </row>
        <row r="25">
          <cell r="B25">
            <v>3.974295258978259</v>
          </cell>
          <cell r="C25">
            <v>4.4089324762157451</v>
          </cell>
          <cell r="D25">
            <v>3.7652524156059011</v>
          </cell>
          <cell r="E25">
            <v>2.9745367921438226</v>
          </cell>
          <cell r="F25">
            <v>1.1953869910024602</v>
          </cell>
          <cell r="G25">
            <v>0.75168683920360369</v>
          </cell>
        </row>
        <row r="26">
          <cell r="B26">
            <v>2.9709293671112933</v>
          </cell>
          <cell r="C26">
            <v>2.9709295483569966</v>
          </cell>
          <cell r="D26">
            <v>2.9709309637533523</v>
          </cell>
          <cell r="E26">
            <v>2.4823560132201243</v>
          </cell>
          <cell r="F26">
            <v>2.9608210541842155</v>
          </cell>
          <cell r="G26">
            <v>6.5627780110944904</v>
          </cell>
        </row>
        <row r="27">
          <cell r="B27">
            <v>2.3223818753098254E-2</v>
          </cell>
          <cell r="C27">
            <v>1.9817376100186523E-2</v>
          </cell>
          <cell r="D27">
            <v>2.968391204671017E-2</v>
          </cell>
          <cell r="E27">
            <v>9.0023685380740993E-3</v>
          </cell>
          <cell r="F27">
            <v>1.974406549708319E-3</v>
          </cell>
          <cell r="G27">
            <v>2.5558218584921971E-4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0.56996131813081363</v>
          </cell>
          <cell r="F32">
            <v>2.5620414228879524</v>
          </cell>
          <cell r="G32">
            <v>10.224359999043134</v>
          </cell>
        </row>
      </sheetData>
      <sheetData sheetId="48">
        <row r="53">
          <cell r="B53">
            <v>2.6043561877978796</v>
          </cell>
          <cell r="C53">
            <v>2.4630004952467752</v>
          </cell>
          <cell r="D53">
            <v>2.4778080954391162</v>
          </cell>
          <cell r="E53">
            <v>2.5026857410115255</v>
          </cell>
          <cell r="F53">
            <v>2.5276841691845684</v>
          </cell>
          <cell r="G53">
            <v>2.5529313028730778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6.4923379820553606</v>
          </cell>
          <cell r="C55">
            <v>6.0090062685482843</v>
          </cell>
          <cell r="D55">
            <v>5.4594191088066113</v>
          </cell>
          <cell r="E55">
            <v>4.6168504628164113</v>
          </cell>
          <cell r="F55">
            <v>3.7018922215275234</v>
          </cell>
          <cell r="G55">
            <v>3.2181141626951453</v>
          </cell>
        </row>
        <row r="56">
          <cell r="B56">
            <v>3.7903897338853603</v>
          </cell>
          <cell r="C56">
            <v>3.5588383633744396</v>
          </cell>
          <cell r="D56">
            <v>3.16693525633745</v>
          </cell>
          <cell r="E56">
            <v>2.1215993497754231</v>
          </cell>
          <cell r="F56">
            <v>0.94058221626076199</v>
          </cell>
          <cell r="G56">
            <v>0.200990588122684</v>
          </cell>
        </row>
        <row r="57">
          <cell r="B57">
            <v>7.1866585736077138</v>
          </cell>
          <cell r="C57">
            <v>6.4868884749157916</v>
          </cell>
          <cell r="D57">
            <v>6.1394625512326488</v>
          </cell>
          <cell r="E57">
            <v>3.7143480827319637</v>
          </cell>
          <cell r="F57">
            <v>1.5960315524466939</v>
          </cell>
          <cell r="G57">
            <v>0.52563624498180395</v>
          </cell>
        </row>
        <row r="58">
          <cell r="B58">
            <v>14.326580041444553</v>
          </cell>
          <cell r="C58">
            <v>13.957450997560331</v>
          </cell>
          <cell r="D58">
            <v>11.194868740701761</v>
          </cell>
          <cell r="E58">
            <v>6.3951849001588386</v>
          </cell>
          <cell r="F58">
            <v>3.1686981311386786</v>
          </cell>
          <cell r="G58">
            <v>1.2028768306407456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-0.76813505290123396</v>
          </cell>
          <cell r="G59">
            <v>-2.6332257696895893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-0.51792209814009593</v>
          </cell>
          <cell r="G60">
            <v>-3.3242594955756832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-1.0261085316092884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-8.2735240380789533E-5</v>
          </cell>
          <cell r="G62">
            <v>-0.71669845926397457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-6.5705537765287284E-6</v>
          </cell>
          <cell r="G63">
            <v>-2.5755334510381005E-4</v>
          </cell>
        </row>
        <row r="77">
          <cell r="B77">
            <v>0.83333287858747629</v>
          </cell>
          <cell r="C77">
            <v>3.4615386153010257</v>
          </cell>
        </row>
        <row r="78">
          <cell r="B78">
            <v>0.45278842715206274</v>
          </cell>
          <cell r="C78">
            <v>1.9970522801483448</v>
          </cell>
        </row>
        <row r="79">
          <cell r="B79">
            <v>0</v>
          </cell>
          <cell r="C79">
            <v>2.2419438946105292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F4" sqref="F4"/>
    </sheetView>
  </sheetViews>
  <sheetFormatPr defaultColWidth="11" defaultRowHeight="15.75" x14ac:dyDescent="0.25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25">
      <c r="A2" s="9" t="s">
        <v>5</v>
      </c>
      <c r="B2" s="9" t="s">
        <v>2179</v>
      </c>
      <c r="C2" s="2" t="s">
        <v>7</v>
      </c>
      <c r="D2" s="2" t="s">
        <v>15</v>
      </c>
      <c r="E2" s="2" t="s">
        <v>8</v>
      </c>
      <c r="F2" s="3">
        <f>F3+F8+F11+F12+F16+F17+F18+F19</f>
        <v>299.9836028914288</v>
      </c>
      <c r="G2" s="3">
        <f t="shared" ref="G2:K2" si="0">G3+G8+G11+G12+G16+G17+G18+G19</f>
        <v>290.74333337404983</v>
      </c>
      <c r="H2" s="3">
        <f t="shared" si="0"/>
        <v>364.54676140834971</v>
      </c>
      <c r="I2" s="3">
        <f t="shared" si="0"/>
        <v>414.7856300654401</v>
      </c>
      <c r="J2" s="3">
        <f t="shared" si="0"/>
        <v>506.59256172221853</v>
      </c>
      <c r="K2" s="3">
        <f t="shared" si="0"/>
        <v>618.67475213812452</v>
      </c>
    </row>
    <row r="3" spans="1:11" x14ac:dyDescent="0.25">
      <c r="A3" s="5" t="str">
        <f>A2</f>
        <v>STEM</v>
      </c>
      <c r="B3" s="5" t="str">
        <f>B2</f>
        <v>SPS2</v>
      </c>
      <c r="C3" s="5" t="str">
        <f t="shared" ref="C3" si="1">C2</f>
        <v>CH</v>
      </c>
      <c r="D3" t="s">
        <v>771</v>
      </c>
      <c r="E3" t="s">
        <v>8</v>
      </c>
      <c r="F3" s="1">
        <f>SUM(F4:F7)</f>
        <v>44.770007526298286</v>
      </c>
      <c r="G3" s="1">
        <f t="shared" ref="G3:K3" si="2">SUM(G4:G7)</f>
        <v>47.260893523897252</v>
      </c>
      <c r="H3" s="1">
        <f t="shared" si="2"/>
        <v>47.988240590411941</v>
      </c>
      <c r="I3" s="1">
        <f t="shared" si="2"/>
        <v>47.990447206414636</v>
      </c>
      <c r="J3" s="1">
        <f t="shared" si="2"/>
        <v>54.445501401042677</v>
      </c>
      <c r="K3" s="1">
        <f t="shared" si="2"/>
        <v>71.291583582575996</v>
      </c>
    </row>
    <row r="4" spans="1:11" x14ac:dyDescent="0.25">
      <c r="A4" s="5" t="str">
        <f t="shared" ref="A4:B53" si="3">A3</f>
        <v>STEM</v>
      </c>
      <c r="B4" s="5" t="str">
        <f t="shared" si="3"/>
        <v>SPS2</v>
      </c>
      <c r="C4" s="5" t="str">
        <f t="shared" ref="C4:C60" si="4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10.182341426473908</v>
      </c>
      <c r="G4" s="1" cm="1">
        <f t="array" ref="G4">SUMPRODUCT(("RNWWOD1"=[1]OUT_PrimaryEnergyCons!$A$1:$A$1000)*1,[1]OUT_PrimaryEnergyCons!E$1:E$1000)</f>
        <v>11.152950234012655</v>
      </c>
      <c r="H4" s="1" cm="1">
        <f t="array" ref="H4">SUMPRODUCT(("RNWWOD1"=[1]OUT_PrimaryEnergyCons!$A$1:$A$1000)*1,[1]OUT_PrimaryEnergyCons!F$1:F$1000)</f>
        <v>12.608866003456438</v>
      </c>
      <c r="I4" s="1" cm="1">
        <f t="array" ref="I4">SUMPRODUCT(("RNWWOD1"=[1]OUT_PrimaryEnergyCons!$A$1:$A$1000)*1,[1]OUT_PrimaryEnergyCons!G$1:G$1000)</f>
        <v>15.035394729556266</v>
      </c>
      <c r="J4" s="1" cm="1">
        <f t="array" ref="J4">SUMPRODUCT(("RNWWOD1"=[1]OUT_PrimaryEnergyCons!$A$1:$A$1000)*1,[1]OUT_PrimaryEnergyCons!H$1:H$1000)</f>
        <v>17.461921731319521</v>
      </c>
      <c r="K4" s="1" cm="1">
        <f t="array" ref="K4">SUMPRODUCT(("RNWWOD1"=[1]OUT_PrimaryEnergyCons!$A$1:$A$1000)*1,[1]OUT_PrimaryEnergyCons!I$1:I$1000)</f>
        <v>17.461922430630267</v>
      </c>
    </row>
    <row r="5" spans="1:11" x14ac:dyDescent="0.25">
      <c r="A5" s="5" t="str">
        <f t="shared" si="3"/>
        <v>STEM</v>
      </c>
      <c r="B5" s="5" t="str">
        <f t="shared" si="3"/>
        <v>SPS2</v>
      </c>
      <c r="C5" s="5" t="str">
        <f t="shared" si="4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7.4592182845033399</v>
      </c>
      <c r="G5" s="1" cm="1">
        <f t="array" ref="G5">SUMPRODUCT(("RNWWOD2"=[1]OUT_PrimaryEnergyCons!$A$1:$A$1000)*1,[1]OUT_PrimaryEnergyCons!E$1:E$1000)</f>
        <v>8.0030398551700834</v>
      </c>
      <c r="H5" s="1" cm="1">
        <f t="array" ref="H5">SUMPRODUCT(("RNWWOD2"=[1]OUT_PrimaryEnergyCons!$A$1:$A$1000)*1,[1]OUT_PrimaryEnergyCons!F$1:F$1000)</f>
        <v>8.8187747700669412</v>
      </c>
      <c r="I5" s="1" cm="1">
        <f t="array" ref="I5">SUMPRODUCT(("RNWWOD2"=[1]OUT_PrimaryEnergyCons!$A$1:$A$1000)*1,[1]OUT_PrimaryEnergyCons!G$1:G$1000)</f>
        <v>10.178335005274397</v>
      </c>
      <c r="J5" s="1" cm="1">
        <f t="array" ref="J5">SUMPRODUCT(("RNWWOD2"=[1]OUT_PrimaryEnergyCons!$A$1:$A$1000)*1,[1]OUT_PrimaryEnergyCons!H$1:H$1000)</f>
        <v>11.537894467468691</v>
      </c>
      <c r="K5" s="1" cm="1">
        <f t="array" ref="K5">SUMPRODUCT(("RNWWOD2"=[1]OUT_PrimaryEnergyCons!$A$1:$A$1000)*1,[1]OUT_PrimaryEnergyCons!I$1:I$1000)</f>
        <v>7.6690269319112714</v>
      </c>
    </row>
    <row r="6" spans="1:11" x14ac:dyDescent="0.25">
      <c r="A6" s="5" t="str">
        <f t="shared" si="3"/>
        <v>STEM</v>
      </c>
      <c r="B6" s="5" t="str">
        <f t="shared" si="3"/>
        <v>SPS2</v>
      </c>
      <c r="C6" s="5" t="str">
        <f t="shared" si="4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2.6225302299153821</v>
      </c>
      <c r="G6" s="1" cm="1">
        <f t="array" ref="G6">SUMPRODUCT(("RNWWOD3"=[1]OUT_PrimaryEnergyCons!$A$1:$A$1000)*1,[1]OUT_PrimaryEnergyCons!E$1:E$1000)</f>
        <v>3.2650033834973482</v>
      </c>
      <c r="H6" s="1" cm="1">
        <f t="array" ref="H6">SUMPRODUCT(("RNWWOD3"=[1]OUT_PrimaryEnergyCons!$A$1:$A$1000)*1,[1]OUT_PrimaryEnergyCons!F$1:F$1000)</f>
        <v>4.2287164095724581</v>
      </c>
      <c r="I6" s="1" cm="1">
        <f t="array" ref="I6">SUMPRODUCT(("RNWWOD3"=[1]OUT_PrimaryEnergyCons!$A$1:$A$1000)*1,[1]OUT_PrimaryEnergyCons!G$1:G$1000)</f>
        <v>5.8349082073248031</v>
      </c>
      <c r="J6" s="1" cm="1">
        <f t="array" ref="J6">SUMPRODUCT(("RNWWOD3"=[1]OUT_PrimaryEnergyCons!$A$1:$A$1000)*1,[1]OUT_PrimaryEnergyCons!H$1:H$1000)</f>
        <v>4.2596696714774325</v>
      </c>
      <c r="K6" s="1" cm="1">
        <f t="array" ref="K6">SUMPRODUCT(("RNWWOD3"=[1]OUT_PrimaryEnergyCons!$A$1:$A$1000)*1,[1]OUT_PrimaryEnergyCons!I$1:I$1000)</f>
        <v>4.8053859611930241</v>
      </c>
    </row>
    <row r="7" spans="1:11" x14ac:dyDescent="0.25">
      <c r="A7" s="5" t="str">
        <f t="shared" si="3"/>
        <v>STEM</v>
      </c>
      <c r="B7" s="5" t="str">
        <f t="shared" si="3"/>
        <v>SPS2</v>
      </c>
      <c r="C7" s="5" t="str">
        <f t="shared" si="4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24.505917585405655</v>
      </c>
      <c r="G7" s="1" cm="1">
        <f t="array" ref="G7">SUMPRODUCT(("RNWWOD4"=[1]OUT_PrimaryEnergyCons!$A$1:$A$1000)*1+("RNWWOD5"=[1]OUT_PrimaryEnergyCons!$A$1:$A$1000)*1,[1]OUT_PrimaryEnergyCons!E$1:E$1000)</f>
        <v>24.839900051217167</v>
      </c>
      <c r="H7" s="1" cm="1">
        <f t="array" ref="H7">SUMPRODUCT(("RNWWOD4"=[1]OUT_PrimaryEnergyCons!$A$1:$A$1000)*1+("RNWWOD5"=[1]OUT_PrimaryEnergyCons!$A$1:$A$1000)*1,[1]OUT_PrimaryEnergyCons!F$1:F$1000)</f>
        <v>22.331883407316106</v>
      </c>
      <c r="I7" s="1" cm="1">
        <f t="array" ref="I7">SUMPRODUCT(("RNWWOD4"=[1]OUT_PrimaryEnergyCons!$A$1:$A$1000)*1+("RNWWOD5"=[1]OUT_PrimaryEnergyCons!$A$1:$A$1000)*1,[1]OUT_PrimaryEnergyCons!G$1:G$1000)</f>
        <v>16.94180926425917</v>
      </c>
      <c r="J7" s="1" cm="1">
        <f t="array" ref="J7">SUMPRODUCT(("RNWWOD4"=[1]OUT_PrimaryEnergyCons!$A$1:$A$1000)*1+("RNWWOD5"=[1]OUT_PrimaryEnergyCons!$A$1:$A$1000)*1,[1]OUT_PrimaryEnergyCons!H$1:H$1000)</f>
        <v>21.186015530777031</v>
      </c>
      <c r="K7" s="1" cm="1">
        <f t="array" ref="K7">SUMPRODUCT(("RNWWOD4"=[1]OUT_PrimaryEnergyCons!$A$1:$A$1000)*1+("RNWWOD5"=[1]OUT_PrimaryEnergyCons!$A$1:$A$1000)*1,[1]OUT_PrimaryEnergyCons!I$1:I$1000)</f>
        <v>41.355248258841428</v>
      </c>
    </row>
    <row r="8" spans="1:11" x14ac:dyDescent="0.25">
      <c r="A8" s="5" t="str">
        <f t="shared" si="3"/>
        <v>STEM</v>
      </c>
      <c r="B8" s="5" t="str">
        <f t="shared" si="3"/>
        <v>SPS2</v>
      </c>
      <c r="C8" s="5" t="str">
        <f t="shared" si="4"/>
        <v>CH</v>
      </c>
      <c r="D8" t="s">
        <v>772</v>
      </c>
      <c r="E8" t="s">
        <v>8</v>
      </c>
      <c r="F8" s="1">
        <f>SUM(F9:F10)</f>
        <v>70.031498162090116</v>
      </c>
      <c r="G8" s="1">
        <f t="shared" ref="G8:K8" si="5">SUM(G9:G10)</f>
        <v>70.338565712474363</v>
      </c>
      <c r="H8" s="1">
        <f t="shared" si="5"/>
        <v>70.132637510553664</v>
      </c>
      <c r="I8" s="1">
        <f t="shared" si="5"/>
        <v>74.600152177050376</v>
      </c>
      <c r="J8" s="1">
        <f t="shared" si="5"/>
        <v>78.225534517715147</v>
      </c>
      <c r="K8" s="1">
        <f t="shared" si="5"/>
        <v>83.658677841377823</v>
      </c>
    </row>
    <row r="9" spans="1:11" x14ac:dyDescent="0.25">
      <c r="A9" s="5" t="str">
        <f t="shared" si="3"/>
        <v>STEM</v>
      </c>
      <c r="B9" s="5" t="str">
        <f t="shared" si="3"/>
        <v>SPS2</v>
      </c>
      <c r="C9" s="5" t="str">
        <f t="shared" si="4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35.931065077020421</v>
      </c>
      <c r="G9" s="1" cm="1">
        <f t="array" ref="G9">SUMPRODUCT(("RNNWWST1"=[1]OUT_PrimaryEnergyCons!$A$1:$A$1000)*1,[1]OUT_PrimaryEnergyCons!E$1:E$1000)</f>
        <v>36.238128729118394</v>
      </c>
      <c r="H9" s="1" cm="1">
        <f t="array" ref="H9">SUMPRODUCT(("RNNWWST1"=[1]OUT_PrimaryEnergyCons!$A$1:$A$1000)*1,[1]OUT_PrimaryEnergyCons!F$1:F$1000)</f>
        <v>36.032197220195073</v>
      </c>
      <c r="I9" s="1" cm="1">
        <f t="array" ref="I9">SUMPRODUCT(("RNNWWST1"=[1]OUT_PrimaryEnergyCons!$A$1:$A$1000)*1,[1]OUT_PrimaryEnergyCons!G$1:G$1000)</f>
        <v>37.198082056220642</v>
      </c>
      <c r="J9" s="1" cm="1">
        <f t="array" ref="J9">SUMPRODUCT(("RNNWWST1"=[1]OUT_PrimaryEnergyCons!$A$1:$A$1000)*1,[1]OUT_PrimaryEnergyCons!H$1:H$1000)</f>
        <v>37.258340665740569</v>
      </c>
      <c r="K9" s="1" cm="1">
        <f t="array" ref="K9">SUMPRODUCT(("RNNWWST1"=[1]OUT_PrimaryEnergyCons!$A$1:$A$1000)*1,[1]OUT_PrimaryEnergyCons!I$1:I$1000)</f>
        <v>39.22161355911053</v>
      </c>
    </row>
    <row r="10" spans="1:11" x14ac:dyDescent="0.25">
      <c r="A10" s="5" t="str">
        <f t="shared" si="3"/>
        <v>STEM</v>
      </c>
      <c r="B10" s="5" t="str">
        <f t="shared" si="3"/>
        <v>SPS2</v>
      </c>
      <c r="C10" s="5" t="str">
        <f t="shared" si="4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34.100433085069703</v>
      </c>
      <c r="G10" s="1" cm="1">
        <f t="array" ref="G10">SUMPRODUCT(("RNWWST1"=[1]OUT_PrimaryEnergyCons!$A$1:$A$1000)*1,[1]OUT_PrimaryEnergyCons!E$1:E$1000)</f>
        <v>34.100436983355969</v>
      </c>
      <c r="H10" s="1" cm="1">
        <f t="array" ref="H10">SUMPRODUCT(("RNWWST1"=[1]OUT_PrimaryEnergyCons!$A$1:$A$1000)*1,[1]OUT_PrimaryEnergyCons!F$1:F$1000)</f>
        <v>34.100440290358591</v>
      </c>
      <c r="I10" s="1" cm="1">
        <f t="array" ref="I10">SUMPRODUCT(("RNWWST1"=[1]OUT_PrimaryEnergyCons!$A$1:$A$1000)*1,[1]OUT_PrimaryEnergyCons!G$1:G$1000)</f>
        <v>37.402070120829741</v>
      </c>
      <c r="J10" s="1" cm="1">
        <f t="array" ref="J10">SUMPRODUCT(("RNWWST1"=[1]OUT_PrimaryEnergyCons!$A$1:$A$1000)*1,[1]OUT_PrimaryEnergyCons!H$1:H$1000)</f>
        <v>40.967193851974571</v>
      </c>
      <c r="K10" s="1" cm="1">
        <f t="array" ref="K10">SUMPRODUCT(("RNWWST1"=[1]OUT_PrimaryEnergyCons!$A$1:$A$1000)*1,[1]OUT_PrimaryEnergyCons!I$1:I$1000)</f>
        <v>44.437064282267286</v>
      </c>
    </row>
    <row r="11" spans="1:11" x14ac:dyDescent="0.25">
      <c r="A11" s="5" t="str">
        <f t="shared" si="3"/>
        <v>STEM</v>
      </c>
      <c r="B11" s="5" t="str">
        <f t="shared" si="3"/>
        <v>SPS2</v>
      </c>
      <c r="C11" s="5" t="str">
        <f t="shared" si="4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3.7980876829412953</v>
      </c>
      <c r="G11" s="1" cm="1">
        <f t="array" ref="G11">SUMPRODUCT(("mnr"=[1]OUT_PrimaryEnergyCons!$C$1:$C$1000)*1,[1]OUT_PrimaryEnergyCons!E$1:E$1000)</f>
        <v>8.6892066078369918</v>
      </c>
      <c r="H11" s="1" cm="1">
        <f t="array" ref="H11">SUMPRODUCT(("mnr"=[1]OUT_PrimaryEnergyCons!$C$1:$C$1000)*1,[1]OUT_PrimaryEnergyCons!F$1:F$1000)</f>
        <v>10.245838458506212</v>
      </c>
      <c r="I11" s="1" cm="1">
        <f t="array" ref="I11">SUMPRODUCT(("mnr"=[1]OUT_PrimaryEnergyCons!$C$1:$C$1000)*1,[1]OUT_PrimaryEnergyCons!G$1:G$1000)</f>
        <v>17.106685580860646</v>
      </c>
      <c r="J11" s="1" cm="1">
        <f t="array" ref="J11">SUMPRODUCT(("mnr"=[1]OUT_PrimaryEnergyCons!$C$1:$C$1000)*1,[1]OUT_PrimaryEnergyCons!H$1:H$1000)</f>
        <v>18.744905057276096</v>
      </c>
      <c r="K11" s="1" cm="1">
        <f t="array" ref="K11">SUMPRODUCT(("mnr"=[1]OUT_PrimaryEnergyCons!$C$1:$C$1000)*1,[1]OUT_PrimaryEnergyCons!I$1:I$1000)</f>
        <v>26.99999817486766</v>
      </c>
    </row>
    <row r="12" spans="1:11" x14ac:dyDescent="0.25">
      <c r="A12" s="5" t="str">
        <f t="shared" si="3"/>
        <v>STEM</v>
      </c>
      <c r="B12" s="5" t="str">
        <f t="shared" si="3"/>
        <v>SPS2</v>
      </c>
      <c r="C12" s="5" t="str">
        <f t="shared" si="4"/>
        <v>CH</v>
      </c>
      <c r="D12" t="s">
        <v>774</v>
      </c>
      <c r="E12" t="s">
        <v>8</v>
      </c>
      <c r="F12" s="1">
        <f>SUM(F13:F15)</f>
        <v>149.4304843930116</v>
      </c>
      <c r="G12" s="1">
        <f t="shared" ref="G12:K12" si="6">SUM(G13:G15)</f>
        <v>125.60771568342508</v>
      </c>
      <c r="H12" s="1">
        <f t="shared" si="6"/>
        <v>173.65669953048325</v>
      </c>
      <c r="I12" s="1">
        <f t="shared" si="6"/>
        <v>150.77810578199643</v>
      </c>
      <c r="J12" s="1">
        <f t="shared" si="6"/>
        <v>153.75605057547352</v>
      </c>
      <c r="K12" s="1">
        <f t="shared" si="6"/>
        <v>157.73287872730955</v>
      </c>
    </row>
    <row r="13" spans="1:11" x14ac:dyDescent="0.25">
      <c r="A13" s="5" t="str">
        <f t="shared" si="3"/>
        <v>STEM</v>
      </c>
      <c r="B13" s="5" t="str">
        <f t="shared" si="3"/>
        <v>SPS2</v>
      </c>
      <c r="C13" s="5" t="str">
        <f t="shared" si="4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66.745680037436841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49.798798693986065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68.535157590789154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70.23000454847741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70.772721031926437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74.336055534228123</v>
      </c>
    </row>
    <row r="14" spans="1:11" x14ac:dyDescent="0.25">
      <c r="A14" s="5" t="str">
        <f t="shared" si="3"/>
        <v>STEM</v>
      </c>
      <c r="B14" s="5" t="str">
        <f t="shared" si="3"/>
        <v>SPS2</v>
      </c>
      <c r="C14" s="5" t="str">
        <f t="shared" si="4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66.632401819639057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55.764000216803026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65.550182888372618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64.469267731764319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66.300719994511383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66.134974085555285</v>
      </c>
    </row>
    <row r="15" spans="1:11" x14ac:dyDescent="0.25">
      <c r="A15" s="5" t="str">
        <f t="shared" si="3"/>
        <v>STEM</v>
      </c>
      <c r="B15" s="5" t="str">
        <f t="shared" si="3"/>
        <v>SPS2</v>
      </c>
      <c r="C15" s="5" t="str">
        <f t="shared" si="4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16.052402535935702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20.044916772635993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39.571359051321465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16.078833501754708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16.682609549035714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17.261849107526164</v>
      </c>
    </row>
    <row r="16" spans="1:11" x14ac:dyDescent="0.25">
      <c r="A16" s="5" t="str">
        <f t="shared" si="3"/>
        <v>STEM</v>
      </c>
      <c r="B16" s="5" t="str">
        <f t="shared" si="3"/>
        <v>SPS2</v>
      </c>
      <c r="C16" s="5" t="str">
        <f t="shared" si="4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12.556459023715597</v>
      </c>
      <c r="G16" s="1" cm="1">
        <f t="array" ref="G16">SUMPRODUCT(ISNUMBER(SEARCH("SOL",[1]OUT_PrimaryEnergyCons!$C$1:$C$1000))*1,[1]OUT_PrimaryEnergyCons!E$1:E$1000)</f>
        <v>16.523444066868979</v>
      </c>
      <c r="H16" s="1" cm="1">
        <f t="array" ref="H16">SUMPRODUCT(ISNUMBER(SEARCH("SOL",[1]OUT_PrimaryEnergyCons!$C$1:$C$1000))*1,[1]OUT_PrimaryEnergyCons!F$1:F$1000)</f>
        <v>30.353641059401095</v>
      </c>
      <c r="I16" s="1" cm="1">
        <f t="array" ref="I16">SUMPRODUCT(ISNUMBER(SEARCH("SOL",[1]OUT_PrimaryEnergyCons!$C$1:$C$1000))*1,[1]OUT_PrimaryEnergyCons!G$1:G$1000)</f>
        <v>71.329667733820216</v>
      </c>
      <c r="J16" s="1" cm="1">
        <f t="array" ref="J16">SUMPRODUCT(ISNUMBER(SEARCH("SOL",[1]OUT_PrimaryEnergyCons!$C$1:$C$1000))*1,[1]OUT_PrimaryEnergyCons!H$1:H$1000)</f>
        <v>116.86620994328116</v>
      </c>
      <c r="K16" s="1" cm="1">
        <f t="array" ref="K16">SUMPRODUCT(ISNUMBER(SEARCH("SOL",[1]OUT_PrimaryEnergyCons!$C$1:$C$1000))*1,[1]OUT_PrimaryEnergyCons!I$1:I$1000)</f>
        <v>180.24493800989066</v>
      </c>
    </row>
    <row r="17" spans="1:18" x14ac:dyDescent="0.25">
      <c r="A17" s="5" t="str">
        <f t="shared" si="3"/>
        <v>STEM</v>
      </c>
      <c r="B17" s="5" t="str">
        <f t="shared" si="3"/>
        <v>SPS2</v>
      </c>
      <c r="C17" s="5" t="str">
        <f t="shared" si="4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0.5240193686406931</v>
      </c>
      <c r="G17" s="1" cm="1">
        <f t="array" ref="G17">SUMPRODUCT(ISNUMBER(SEARCH("wnd",[1]OUT_PrimaryEnergyCons!$C$1:$C$1000))*1,[1]OUT_PrimaryEnergyCons!E$1:E$1000)</f>
        <v>0.54529293919164612</v>
      </c>
      <c r="H17" s="1" cm="1">
        <f t="array" ref="H17">SUMPRODUCT(ISNUMBER(SEARCH("wnd",[1]OUT_PrimaryEnergyCons!$C$1:$C$1000))*1,[1]OUT_PrimaryEnergyCons!F$1:F$1000)</f>
        <v>0.50412202545434504</v>
      </c>
      <c r="I17" s="1" cm="1">
        <f t="array" ref="I17">SUMPRODUCT(ISNUMBER(SEARCH("wnd",[1]OUT_PrimaryEnergyCons!$C$1:$C$1000))*1,[1]OUT_PrimaryEnergyCons!G$1:G$1000)</f>
        <v>2.523777818145168</v>
      </c>
      <c r="J17" s="1" cm="1">
        <f t="array" ref="J17">SUMPRODUCT(ISNUMBER(SEARCH("wnd",[1]OUT_PrimaryEnergyCons!$C$1:$C$1000))*1,[1]OUT_PrimaryEnergyCons!H$1:H$1000)</f>
        <v>5.2768215711191102</v>
      </c>
      <c r="K17" s="1" cm="1">
        <f t="array" ref="K17">SUMPRODUCT(ISNUMBER(SEARCH("wnd",[1]OUT_PrimaryEnergyCons!$C$1:$C$1000))*1,[1]OUT_PrimaryEnergyCons!I$1:I$1000)</f>
        <v>10.794175917864059</v>
      </c>
    </row>
    <row r="18" spans="1:18" x14ac:dyDescent="0.25">
      <c r="A18" s="5" t="str">
        <f t="shared" si="3"/>
        <v>STEM</v>
      </c>
      <c r="B18" s="5" t="str">
        <f t="shared" si="3"/>
        <v>SPS2</v>
      </c>
      <c r="C18" s="5" t="str">
        <f t="shared" si="4"/>
        <v>CH</v>
      </c>
      <c r="D18" t="s">
        <v>777</v>
      </c>
      <c r="E18" t="s">
        <v>8</v>
      </c>
      <c r="F18" s="1">
        <f>[1]Overview!B$9-F19</f>
        <v>18.87304673473124</v>
      </c>
      <c r="G18" s="1">
        <f>[1]Overview!C$9-G19</f>
        <v>21.778214840355471</v>
      </c>
      <c r="H18" s="1">
        <f>[1]Overview!D$9-H19</f>
        <v>31.665582233539226</v>
      </c>
      <c r="I18" s="1">
        <f>[1]Overview!E$9-I19</f>
        <v>50.456793767152647</v>
      </c>
      <c r="J18" s="1">
        <f>[1]Overview!F$9-J19</f>
        <v>79.175370462473282</v>
      </c>
      <c r="K18" s="1">
        <f>[1]Overview!G$9-K19</f>
        <v>87.849329362759491</v>
      </c>
    </row>
    <row r="19" spans="1:18" x14ac:dyDescent="0.25">
      <c r="A19" s="5" t="str">
        <f t="shared" si="3"/>
        <v>STEM</v>
      </c>
      <c r="B19" s="5" t="str">
        <f t="shared" si="3"/>
        <v>SPS2</v>
      </c>
      <c r="C19" s="5" t="str">
        <f t="shared" si="4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0.10216819383757901</v>
      </c>
      <c r="K19" s="1">
        <f>+[1]Overview!G$28</f>
        <v>0.10317052147923265</v>
      </c>
    </row>
    <row r="20" spans="1:18" x14ac:dyDescent="0.25">
      <c r="A20" s="9" t="str">
        <f t="shared" si="3"/>
        <v>STEM</v>
      </c>
      <c r="B20" s="9" t="str">
        <f t="shared" si="3"/>
        <v>SPS2</v>
      </c>
      <c r="C20" s="2" t="str">
        <f t="shared" si="4"/>
        <v>CH</v>
      </c>
      <c r="D20" s="2" t="s">
        <v>19</v>
      </c>
      <c r="E20" s="2" t="s">
        <v>8</v>
      </c>
      <c r="F20" s="3">
        <f t="shared" ref="F20:K20" si="7">SUM(F21:F22,F39,F48:F49,F54)</f>
        <v>776.0889657186392</v>
      </c>
      <c r="G20" s="3">
        <f t="shared" si="7"/>
        <v>703.32164357933073</v>
      </c>
      <c r="H20" s="3">
        <f t="shared" si="7"/>
        <v>606.7144632009207</v>
      </c>
      <c r="I20" s="3">
        <f t="shared" si="7"/>
        <v>441.02124678728336</v>
      </c>
      <c r="J20" s="3">
        <f t="shared" si="7"/>
        <v>208.47244858837689</v>
      </c>
      <c r="K20" s="3">
        <f t="shared" si="7"/>
        <v>23.684722731225531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3"/>
        <v>STEM</v>
      </c>
      <c r="B21" s="5" t="str">
        <f t="shared" si="3"/>
        <v>SPS2</v>
      </c>
      <c r="C21" s="5" t="str">
        <f t="shared" si="4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3.6600037300941612</v>
      </c>
      <c r="G21" s="1" cm="1">
        <f t="array" ref="G21">SUMPRODUCT(("COA"=[1]OUT_PrimaryEnergyCons!$C$4:$C$10000)*1,[1]OUT_PrimaryEnergyCons!E$4:E$10000)</f>
        <v>3.5647168884982219</v>
      </c>
      <c r="H21" s="1" cm="1">
        <f t="array" ref="H21">SUMPRODUCT(("COA"=[1]OUT_PrimaryEnergyCons!$C$4:$C$10000)*1,[1]OUT_PrimaryEnergyCons!F$4:F$10000)</f>
        <v>2.9106023964416187E-2</v>
      </c>
      <c r="I21" s="1" cm="1">
        <f t="array" ref="I21">SUMPRODUCT(("COA"=[1]OUT_PrimaryEnergyCons!$C$4:$C$10000)*1,[1]OUT_PrimaryEnergyCons!G$4:G$10000)</f>
        <v>3.0221603972341655</v>
      </c>
      <c r="J21" s="1" cm="1">
        <f t="array" ref="J21">SUMPRODUCT(("COA"=[1]OUT_PrimaryEnergyCons!$C$4:$C$10000)*1,[1]OUT_PrimaryEnergyCons!H$4:H$10000)</f>
        <v>1.3360185557488916E-3</v>
      </c>
      <c r="K21" s="1" cm="1">
        <f t="array" ref="K21">SUMPRODUCT(("COA"=[1]OUT_PrimaryEnergyCons!$C$4:$C$10000)*1,[1]OUT_PrimaryEnergyCons!I$4:I$10000)</f>
        <v>0</v>
      </c>
    </row>
    <row r="22" spans="1:18" x14ac:dyDescent="0.25">
      <c r="A22" s="5" t="str">
        <f t="shared" si="3"/>
        <v>STEM</v>
      </c>
      <c r="B22" s="5" t="str">
        <f t="shared" si="3"/>
        <v>SPS2</v>
      </c>
      <c r="C22" s="5" t="str">
        <f t="shared" si="4"/>
        <v>CH</v>
      </c>
      <c r="D22" t="s">
        <v>780</v>
      </c>
      <c r="E22" t="s">
        <v>8</v>
      </c>
      <c r="F22" s="1">
        <f>F23+F29</f>
        <v>307.03622571860933</v>
      </c>
      <c r="G22" s="1">
        <f t="shared" ref="G22:K22" si="8">G23+G29</f>
        <v>289.46293307313067</v>
      </c>
      <c r="H22" s="1">
        <f t="shared" si="8"/>
        <v>241.0442178685787</v>
      </c>
      <c r="I22" s="1">
        <f t="shared" si="8"/>
        <v>141.66256417748758</v>
      </c>
      <c r="J22" s="1">
        <f t="shared" si="8"/>
        <v>56.17592940752904</v>
      </c>
      <c r="K22" s="1">
        <f t="shared" si="8"/>
        <v>6.1459973132681815</v>
      </c>
    </row>
    <row r="23" spans="1:18" x14ac:dyDescent="0.25">
      <c r="A23" s="5" t="str">
        <f t="shared" ref="A23:B23" si="9">A22</f>
        <v>STEM</v>
      </c>
      <c r="B23" s="5" t="str">
        <f t="shared" si="9"/>
        <v>SPS2</v>
      </c>
      <c r="C23" s="5" t="str">
        <f t="shared" ref="C23" si="10">C22</f>
        <v>CH</v>
      </c>
      <c r="D23" t="s">
        <v>781</v>
      </c>
      <c r="E23" t="s">
        <v>8</v>
      </c>
      <c r="F23" s="1">
        <f>SUM(F24:F28)</f>
        <v>300.8901398045885</v>
      </c>
      <c r="G23" s="1">
        <f t="shared" ref="G23:K23" si="11">SUM(G24:G28)</f>
        <v>282.33687433209741</v>
      </c>
      <c r="H23" s="1">
        <f t="shared" si="11"/>
        <v>234.20883442435098</v>
      </c>
      <c r="I23" s="1">
        <f t="shared" si="11"/>
        <v>135.70799841316861</v>
      </c>
      <c r="J23" s="1">
        <f t="shared" si="11"/>
        <v>51.718741126208847</v>
      </c>
      <c r="K23" s="1">
        <f t="shared" si="11"/>
        <v>0</v>
      </c>
    </row>
    <row r="24" spans="1:18" x14ac:dyDescent="0.25">
      <c r="A24" s="5" t="str">
        <f>A22</f>
        <v>STEM</v>
      </c>
      <c r="B24" s="5" t="str">
        <f t="shared" ref="B24:B87" si="12">B23</f>
        <v>SPS2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101.74428183143539</v>
      </c>
      <c r="G24" s="1" cm="1">
        <f t="array" ref="G24">SUMPRODUCT(("LFO"=[1]OUT_PrimaryEnergyCons!$C$4:$C$10000)*1,[1]OUT_PrimaryEnergyCons!E$4:E$10000)</f>
        <v>90.977041688379956</v>
      </c>
      <c r="H24" s="1" cm="1">
        <f t="array" ref="H24">SUMPRODUCT(("LFO"=[1]OUT_PrimaryEnergyCons!$C$4:$C$10000)*1,[1]OUT_PrimaryEnergyCons!F$4:F$10000)</f>
        <v>82.13422091081199</v>
      </c>
      <c r="I24" s="1" cm="1">
        <f t="array" ref="I24">SUMPRODUCT(("LFO"=[1]OUT_PrimaryEnergyCons!$C$4:$C$10000)*1,[1]OUT_PrimaryEnergyCons!G$4:G$10000)</f>
        <v>48.712006273840743</v>
      </c>
      <c r="J24" s="1" cm="1">
        <f t="array" ref="J24">SUMPRODUCT(("LFO"=[1]OUT_PrimaryEnergyCons!$C$4:$C$10000)*1,[1]OUT_PrimaryEnergyCons!H$4:H$10000)</f>
        <v>14.25692371166839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3"/>
        <v>STEM</v>
      </c>
      <c r="B25" s="5" t="str">
        <f t="shared" si="12"/>
        <v>SPS2</v>
      </c>
      <c r="C25" s="5" t="str">
        <f t="shared" si="4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2.7763701271697321</v>
      </c>
      <c r="G25" s="1" cm="1">
        <f t="array" ref="G25">SUMPRODUCT(("HFO"=[1]OUT_PrimaryEnergyCons!$C$4:$C$10000)*1,[1]OUT_PrimaryEnergyCons!E$4:E$10000)</f>
        <v>1.3140812646362577E-3</v>
      </c>
      <c r="H25" s="1" cm="1">
        <f t="array" ref="H25">SUMPRODUCT(("HFO"=[1]OUT_PrimaryEnergyCons!$C$4:$C$10000)*1,[1]OUT_PrimaryEnergyCons!F$4:F$10000)</f>
        <v>1.5390436187185423E-3</v>
      </c>
      <c r="I25" s="1" cm="1">
        <f t="array" ref="I25">SUMPRODUCT(("HFO"=[1]OUT_PrimaryEnergyCons!$C$4:$C$10000)*1,[1]OUT_PrimaryEnergyCons!G$4:G$10000)</f>
        <v>1.3194029946510132E-2</v>
      </c>
      <c r="J25" s="1" cm="1">
        <f t="array" ref="J25">SUMPRODUCT(("HFO"=[1]OUT_PrimaryEnergyCons!$C$4:$C$10000)*1,[1]OUT_PrimaryEnergyCons!H$4:H$10000)</f>
        <v>1.6225787499077309E-3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3"/>
        <v>STEM</v>
      </c>
      <c r="B26" s="5" t="str">
        <f t="shared" si="12"/>
        <v>SPS2</v>
      </c>
      <c r="C26" s="5" t="str">
        <f t="shared" si="4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125.60764550917312</v>
      </c>
      <c r="G26" s="1" cm="1">
        <f t="array" ref="G26">SUMPRODUCT(("DSL"=[1]OUT_PrimaryEnergyCons!$C$4:$C$10000)*1,[1]OUT_PrimaryEnergyCons!E$4:E$10000)</f>
        <v>112.6860434400897</v>
      </c>
      <c r="H26" s="1" cm="1">
        <f t="array" ref="H26">SUMPRODUCT(("DSL"=[1]OUT_PrimaryEnergyCons!$C$4:$C$10000)*1,[1]OUT_PrimaryEnergyCons!F$4:F$10000)</f>
        <v>84.239935747384777</v>
      </c>
      <c r="I26" s="1" cm="1">
        <f t="array" ref="I26">SUMPRODUCT(("DSL"=[1]OUT_PrimaryEnergyCons!$C$4:$C$10000)*1,[1]OUT_PrimaryEnergyCons!G$4:G$10000)</f>
        <v>48.032479228799374</v>
      </c>
      <c r="J26" s="1" cm="1">
        <f t="array" ref="J26">SUMPRODUCT(("DSL"=[1]OUT_PrimaryEnergyCons!$C$4:$C$10000)*1,[1]OUT_PrimaryEnergyCons!H$4:H$10000)</f>
        <v>27.308575704455642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3"/>
        <v>STEM</v>
      </c>
      <c r="B27" s="5" t="str">
        <f t="shared" si="12"/>
        <v>SPS2</v>
      </c>
      <c r="C27" s="5" t="str">
        <f t="shared" si="4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69.652456970431075</v>
      </c>
      <c r="G27" s="1" cm="1">
        <f t="array" ref="G27">SUMPRODUCT(("GSL"=[1]OUT_PrimaryEnergyCons!$C$4:$C$10000)*1,[1]OUT_PrimaryEnergyCons!E$4:E$10000)</f>
        <v>77.267260238809328</v>
      </c>
      <c r="H27" s="1" cm="1">
        <f t="array" ref="H27">SUMPRODUCT(("GSL"=[1]OUT_PrimaryEnergyCons!$C$4:$C$10000)*1,[1]OUT_PrimaryEnergyCons!F$4:F$10000)</f>
        <v>65.984179563219811</v>
      </c>
      <c r="I27" s="1" cm="1">
        <f t="array" ref="I27">SUMPRODUCT(("GSL"=[1]OUT_PrimaryEnergyCons!$C$4:$C$10000)*1,[1]OUT_PrimaryEnergyCons!G$4:G$10000)</f>
        <v>36.857679472526151</v>
      </c>
      <c r="J27" s="1" cm="1">
        <f t="array" ref="J27">SUMPRODUCT(("GSL"=[1]OUT_PrimaryEnergyCons!$C$4:$C$10000)*1,[1]OUT_PrimaryEnergyCons!H$4:H$10000)</f>
        <v>8.5489445984621799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3">A27</f>
        <v>STEM</v>
      </c>
      <c r="B28" s="5" t="str">
        <f t="shared" si="12"/>
        <v>SPS2</v>
      </c>
      <c r="C28" s="5" t="str">
        <f t="shared" ref="C28" si="14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2.0926394080558417</v>
      </c>
      <c r="J28" s="1" cm="1">
        <f t="array" ref="J28">SUMPRODUCT(("KER"=[1]OUT_PrimaryEnergyCons!$C$4:$C$10000)*1,[1]OUT_PrimaryEnergyCons!H$4:H$10000)</f>
        <v>1.6026745328727288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 t="shared" si="12"/>
        <v>SPS2</v>
      </c>
      <c r="C29" s="5" t="str">
        <f>C48</f>
        <v>CH</v>
      </c>
      <c r="D29" t="s">
        <v>782</v>
      </c>
      <c r="E29" t="s">
        <v>8</v>
      </c>
      <c r="F29" s="1">
        <f>SUM(F30:F31)</f>
        <v>6.1460859140208193</v>
      </c>
      <c r="G29" s="1">
        <f t="shared" ref="G29:K29" si="15">SUM(G30:G31)</f>
        <v>7.1260587410332334</v>
      </c>
      <c r="H29" s="1">
        <f t="shared" si="15"/>
        <v>6.8353834442277055</v>
      </c>
      <c r="I29" s="1">
        <f t="shared" si="15"/>
        <v>5.9545657643189625</v>
      </c>
      <c r="J29" s="1">
        <f t="shared" si="15"/>
        <v>4.4571882813201906</v>
      </c>
      <c r="K29" s="1">
        <f t="shared" si="15"/>
        <v>6.1459973132681815</v>
      </c>
    </row>
    <row r="30" spans="1:18" x14ac:dyDescent="0.25">
      <c r="A30" s="5" t="str">
        <f>A35</f>
        <v>STEM</v>
      </c>
      <c r="B30" s="5" t="str">
        <f t="shared" si="12"/>
        <v>SPS2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3.0152277362664539</v>
      </c>
      <c r="G30" s="1" cm="1">
        <f t="array" ref="G30">SUMPRODUCT(ISNUMBER(SEARCH("IMPBDS",[1]OUT_SyntheticFuels!$C$4:$C$1000))*1,("Var_Fout"=[1]OUT_SyntheticFuels!$B$4:$B$1000)*1,[1]OUT_SyntheticFuels!F$4:F$1000)</f>
        <v>2.6517763303405442</v>
      </c>
      <c r="H30" s="1" cm="1">
        <f t="array" ref="H30">SUMPRODUCT(ISNUMBER(SEARCH("IMPBDS",[1]OUT_SyntheticFuels!$C$4:$C$1000))*1,("Var_Fout"=[1]OUT_SyntheticFuels!$B$4:$B$1000)*1,[1]OUT_SyntheticFuels!G$4:G$1000)</f>
        <v>3.0152929404056152</v>
      </c>
      <c r="I30" s="1" cm="1">
        <f t="array" ref="I30">SUMPRODUCT(ISNUMBER(SEARCH("IMPBDS",[1]OUT_SyntheticFuels!$C$4:$C$1000))*1,("Var_Fout"=[1]OUT_SyntheticFuels!$B$4:$B$1000)*1,[1]OUT_SyntheticFuels!H$4:H$1000)</f>
        <v>2.9735300565807146</v>
      </c>
      <c r="J30" s="1" cm="1">
        <f t="array" ref="J30">SUMPRODUCT(ISNUMBER(SEARCH("IMPBDS",[1]OUT_SyntheticFuels!$C$4:$C$1000))*1,("Var_Fout"=[1]OUT_SyntheticFuels!$B$4:$B$1000)*1,[1]OUT_SyntheticFuels!I$4:I$1000)</f>
        <v>3.2442378203922835</v>
      </c>
      <c r="K30" s="1" cm="1">
        <f t="array" ref="K30">SUMPRODUCT(ISNUMBER(SEARCH("IMPBDS",[1]OUT_SyntheticFuels!$C$4:$C$1000))*1,("Var_Fout"=[1]OUT_SyntheticFuels!$B$4:$B$1000)*1,[1]OUT_SyntheticFuels!J$4:J$1000)</f>
        <v>5.6459440231617704</v>
      </c>
    </row>
    <row r="31" spans="1:18" x14ac:dyDescent="0.25">
      <c r="A31" s="5" t="str">
        <f>A30</f>
        <v>STEM</v>
      </c>
      <c r="B31" s="5" t="str">
        <f t="shared" si="12"/>
        <v>SPS2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3.1308581777543649</v>
      </c>
      <c r="G31" s="1" cm="1">
        <f t="array" ref="G31">SUMPRODUCT(ISNUMBER(SEARCH("IMPeth",[1]OUT_SyntheticFuels!$C$4:$C$1000))*1,("Var_Fout"=[1]OUT_SyntheticFuels!$B$4:$B$1000)*1,[1]OUT_SyntheticFuels!F$4:F$1000)</f>
        <v>4.4742824106926893</v>
      </c>
      <c r="H31" s="1" cm="1">
        <f t="array" ref="H31">SUMPRODUCT(ISNUMBER(SEARCH("IMPeth",[1]OUT_SyntheticFuels!$C$4:$C$1000))*1,("Var_Fout"=[1]OUT_SyntheticFuels!$B$4:$B$1000)*1,[1]OUT_SyntheticFuels!G$4:G$1000)</f>
        <v>3.8200905038220903</v>
      </c>
      <c r="I31" s="1" cm="1">
        <f t="array" ref="I31">SUMPRODUCT(ISNUMBER(SEARCH("IMPeth",[1]OUT_SyntheticFuels!$C$4:$C$1000))*1,("Var_Fout"=[1]OUT_SyntheticFuels!$B$4:$B$1000)*1,[1]OUT_SyntheticFuels!H$4:H$1000)</f>
        <v>2.9810357077382474</v>
      </c>
      <c r="J31" s="1" cm="1">
        <f t="array" ref="J31">SUMPRODUCT(ISNUMBER(SEARCH("IMPeth",[1]OUT_SyntheticFuels!$C$4:$C$1000))*1,("Var_Fout"=[1]OUT_SyntheticFuels!$B$4:$B$1000)*1,[1]OUT_SyntheticFuels!I$4:I$1000)</f>
        <v>1.2129504609279071</v>
      </c>
      <c r="K31" s="1" cm="1">
        <f t="array" ref="K31">SUMPRODUCT(ISNUMBER(SEARCH("IMPeth",[1]OUT_SyntheticFuels!$C$4:$C$1000))*1,("Var_Fout"=[1]OUT_SyntheticFuels!$B$4:$B$1000)*1,[1]OUT_SyntheticFuels!J$4:J$1000)</f>
        <v>0.50005329010641153</v>
      </c>
    </row>
    <row r="32" spans="1:18" x14ac:dyDescent="0.25">
      <c r="A32" s="5" t="str">
        <f>A29</f>
        <v>STEM</v>
      </c>
      <c r="B32" s="5" t="str">
        <f t="shared" si="12"/>
        <v>SPS2</v>
      </c>
      <c r="C32" s="5" t="str">
        <f>C29</f>
        <v>CH</v>
      </c>
      <c r="D32" t="s">
        <v>532</v>
      </c>
      <c r="E32" t="s">
        <v>8</v>
      </c>
      <c r="F32" s="1">
        <f t="shared" ref="F32:K32" si="16">SUM(F33:F34)</f>
        <v>6.1460859140208193</v>
      </c>
      <c r="G32" s="1">
        <f t="shared" si="16"/>
        <v>7.1260587410332334</v>
      </c>
      <c r="H32" s="1">
        <f t="shared" si="16"/>
        <v>6.8353834442277055</v>
      </c>
      <c r="I32" s="1">
        <f t="shared" si="16"/>
        <v>5.9545657643189625</v>
      </c>
      <c r="J32" s="1">
        <f t="shared" si="16"/>
        <v>4.2282434013335219</v>
      </c>
      <c r="K32" s="1">
        <f t="shared" si="16"/>
        <v>3.7442911104986951</v>
      </c>
    </row>
    <row r="33" spans="1:11" x14ac:dyDescent="0.25">
      <c r="A33" s="5" t="str">
        <f>A31</f>
        <v>STEM</v>
      </c>
      <c r="B33" s="5" t="str">
        <f t="shared" si="12"/>
        <v>SPS2</v>
      </c>
      <c r="C33" s="5" t="str">
        <f>C31</f>
        <v>CH</v>
      </c>
      <c r="D33" t="s">
        <v>533</v>
      </c>
      <c r="E33" t="s">
        <v>8</v>
      </c>
      <c r="F33" s="1">
        <f t="shared" ref="F33:I34" si="17">F30</f>
        <v>3.0152277362664539</v>
      </c>
      <c r="G33" s="1">
        <f t="shared" si="17"/>
        <v>2.6517763303405442</v>
      </c>
      <c r="H33" s="1">
        <f t="shared" si="17"/>
        <v>3.0152929404056152</v>
      </c>
      <c r="I33" s="1">
        <f t="shared" si="17"/>
        <v>2.9735300565807146</v>
      </c>
      <c r="J33" s="1">
        <f>IF(J30-MAX(F30:I30)&lt;0,J30,MAX(F30:I30))</f>
        <v>3.0152929404056152</v>
      </c>
      <c r="K33" s="1">
        <f>IF(K30-MAX(F30:J30)&lt;0,K30,MAX(F30:J30))</f>
        <v>3.2442378203922835</v>
      </c>
    </row>
    <row r="34" spans="1:11" x14ac:dyDescent="0.25">
      <c r="A34" s="5" t="str">
        <f>A33</f>
        <v>STEM</v>
      </c>
      <c r="B34" s="5" t="str">
        <f t="shared" si="12"/>
        <v>SPS2</v>
      </c>
      <c r="C34" s="5" t="str">
        <f>C33</f>
        <v>CH</v>
      </c>
      <c r="D34" t="s">
        <v>534</v>
      </c>
      <c r="E34" t="s">
        <v>8</v>
      </c>
      <c r="F34" s="1">
        <f t="shared" si="17"/>
        <v>3.1308581777543649</v>
      </c>
      <c r="G34" s="1">
        <f t="shared" si="17"/>
        <v>4.4742824106926893</v>
      </c>
      <c r="H34" s="1">
        <f t="shared" si="17"/>
        <v>3.8200905038220903</v>
      </c>
      <c r="I34" s="1">
        <f t="shared" si="17"/>
        <v>2.9810357077382474</v>
      </c>
      <c r="J34" s="1">
        <f>IF(J31-MAX(F31:I31)&lt;0,J31,MAX(F31:I31))</f>
        <v>1.2129504609279071</v>
      </c>
      <c r="K34" s="1">
        <f>IF(K31-MAX(F31:J31)&lt;0,K31,MAX(F31:J31))</f>
        <v>0.50005329010641153</v>
      </c>
    </row>
    <row r="35" spans="1:11" x14ac:dyDescent="0.25">
      <c r="A35" s="5" t="str">
        <f>A32</f>
        <v>STEM</v>
      </c>
      <c r="B35" s="5" t="str">
        <f t="shared" si="12"/>
        <v>SPS2</v>
      </c>
      <c r="C35" s="5" t="str">
        <f>C32</f>
        <v>CH</v>
      </c>
      <c r="D35" t="s">
        <v>783</v>
      </c>
      <c r="E35" t="s">
        <v>8</v>
      </c>
      <c r="F35" s="1">
        <f t="shared" ref="F35:K35" si="18">SUM(F36:F37)</f>
        <v>0</v>
      </c>
      <c r="G35" s="1">
        <f t="shared" si="18"/>
        <v>0</v>
      </c>
      <c r="H35" s="1">
        <f t="shared" si="18"/>
        <v>0</v>
      </c>
      <c r="I35" s="1">
        <f t="shared" si="18"/>
        <v>0</v>
      </c>
      <c r="J35" s="1">
        <f t="shared" si="18"/>
        <v>0.22894487998666824</v>
      </c>
      <c r="K35" s="1">
        <f t="shared" si="18"/>
        <v>2.4017062027694869</v>
      </c>
    </row>
    <row r="36" spans="1:11" x14ac:dyDescent="0.25">
      <c r="A36" s="5" t="str">
        <f>A34</f>
        <v>STEM</v>
      </c>
      <c r="B36" s="5" t="str">
        <f t="shared" si="12"/>
        <v>SPS2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0.22894487998666824</v>
      </c>
      <c r="K36" s="1">
        <f>K30-K33</f>
        <v>2.4017062027694869</v>
      </c>
    </row>
    <row r="37" spans="1:11" x14ac:dyDescent="0.25">
      <c r="A37" s="5" t="str">
        <f>A36</f>
        <v>STEM</v>
      </c>
      <c r="B37" s="5" t="str">
        <f t="shared" si="12"/>
        <v>SPS2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0</v>
      </c>
      <c r="K37" s="1">
        <f>K31-K34</f>
        <v>0</v>
      </c>
    </row>
    <row r="38" spans="1:11" x14ac:dyDescent="0.25">
      <c r="A38" s="5"/>
      <c r="B38" s="5" t="str">
        <f t="shared" si="12"/>
        <v>SPS2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19">A28</f>
        <v>STEM</v>
      </c>
      <c r="B39" s="5" t="str">
        <f t="shared" si="12"/>
        <v>SPS2</v>
      </c>
      <c r="C39" s="5" t="str">
        <f t="shared" si="19"/>
        <v>CH</v>
      </c>
      <c r="D39" t="s">
        <v>784</v>
      </c>
      <c r="E39" t="s">
        <v>8</v>
      </c>
      <c r="F39" s="1">
        <f>F40+F43</f>
        <v>117.28452952583235</v>
      </c>
      <c r="G39" s="1">
        <f t="shared" ref="G39:K39" si="20">G40+G43</f>
        <v>106.7203011850104</v>
      </c>
      <c r="H39" s="1">
        <f t="shared" si="20"/>
        <v>102.08444395765686</v>
      </c>
      <c r="I39" s="1">
        <f t="shared" si="20"/>
        <v>62.968195254419008</v>
      </c>
      <c r="J39" s="1">
        <f t="shared" si="20"/>
        <v>39.759858251891252</v>
      </c>
      <c r="K39" s="1">
        <f t="shared" si="20"/>
        <v>8.7985167604720093E-5</v>
      </c>
    </row>
    <row r="40" spans="1:11" x14ac:dyDescent="0.25">
      <c r="A40" s="5" t="str">
        <f t="shared" si="19"/>
        <v>STEM</v>
      </c>
      <c r="B40" s="5" t="str">
        <f t="shared" si="12"/>
        <v>SPS2</v>
      </c>
      <c r="C40" s="5" t="str">
        <f t="shared" si="19"/>
        <v>CH</v>
      </c>
      <c r="D40" t="s">
        <v>549</v>
      </c>
      <c r="E40" t="s">
        <v>8</v>
      </c>
      <c r="F40" s="1">
        <f>F41+F42</f>
        <v>117.28452952583235</v>
      </c>
      <c r="G40" s="1">
        <f t="shared" ref="G40:K40" si="21">G41+G42</f>
        <v>106.71999948625074</v>
      </c>
      <c r="H40" s="1">
        <f t="shared" si="21"/>
        <v>102.08219735570731</v>
      </c>
      <c r="I40" s="1">
        <f t="shared" si="21"/>
        <v>62.776266456951888</v>
      </c>
      <c r="J40" s="1">
        <f t="shared" si="21"/>
        <v>38.06984387782294</v>
      </c>
      <c r="K40" s="1">
        <f t="shared" si="21"/>
        <v>0</v>
      </c>
    </row>
    <row r="41" spans="1:11" x14ac:dyDescent="0.25">
      <c r="A41" s="5" t="str">
        <f>A27</f>
        <v>STEM</v>
      </c>
      <c r="B41" s="5" t="str">
        <f t="shared" si="12"/>
        <v>SPS2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117.28452952583235</v>
      </c>
      <c r="G41" s="1" cm="1">
        <f t="array" ref="G41">SUMPRODUCT(("NGA"=[1]OUT_PrimaryEnergyCons!$C$4:$C$10000)*1,[1]OUT_PrimaryEnergyCons!E$4:E$10000)</f>
        <v>106.71999948625074</v>
      </c>
      <c r="H41" s="1" cm="1">
        <f t="array" ref="H41">SUMPRODUCT(("NGA"=[1]OUT_PrimaryEnergyCons!$C$4:$C$10000)*1,[1]OUT_PrimaryEnergyCons!F$4:F$10000)</f>
        <v>102.08219735570731</v>
      </c>
      <c r="I41" s="1" cm="1">
        <f t="array" ref="I41">SUMPRODUCT(("NGA"=[1]OUT_PrimaryEnergyCons!$C$4:$C$10000)*1,[1]OUT_PrimaryEnergyCons!G$4:G$10000)</f>
        <v>62.774444031868505</v>
      </c>
      <c r="J41" s="1" cm="1">
        <f t="array" ref="J41">SUMPRODUCT(("NGA"=[1]OUT_PrimaryEnergyCons!$C$4:$C$10000)*1,[1]OUT_PrimaryEnergyCons!H$4:H$10000)</f>
        <v>38.067455452993144</v>
      </c>
      <c r="K41" s="1" cm="1">
        <f t="array" ref="K41">SUMPRODUCT(("NGA"=[1]OUT_PrimaryEnergyCons!$C$4:$C$10000)*1,[1]OUT_PrimaryEnergyCons!I$4:I$10000)</f>
        <v>0</v>
      </c>
    </row>
    <row r="42" spans="1:11" x14ac:dyDescent="0.25">
      <c r="A42" s="5" t="str">
        <f t="shared" si="3"/>
        <v>STEM</v>
      </c>
      <c r="B42" s="5" t="str">
        <f t="shared" si="12"/>
        <v>SPS2</v>
      </c>
      <c r="C42" s="5" t="str">
        <f t="shared" si="4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1.8224250833797442E-3</v>
      </c>
      <c r="J42" s="1" cm="1">
        <f t="array" ref="J42">SUMPRODUCT(("LNGA"=[1]OUT_PrimaryEnergyCons!$C$4:$C$10000)*1,[1]OUT_PrimaryEnergyCons!H$4:H$10000)</f>
        <v>2.3884248297974574E-3</v>
      </c>
      <c r="K42" s="1" cm="1">
        <f t="array" ref="K42">SUMPRODUCT(("LNGA"=[1]OUT_PrimaryEnergyCons!$C$4:$C$10000)*1,[1]OUT_PrimaryEnergyCons!I$4:I$10000)</f>
        <v>0</v>
      </c>
    </row>
    <row r="43" spans="1:11" x14ac:dyDescent="0.25">
      <c r="A43" s="5" t="str">
        <f>A37</f>
        <v>STEM</v>
      </c>
      <c r="B43" s="5" t="str">
        <f t="shared" si="12"/>
        <v>SPS2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3.0169875965005481E-4</v>
      </c>
      <c r="H43" s="1" cm="1">
        <f t="array" ref="H43">SUMPRODUCT(("BIO"=[1]OUT_PrimaryEnergyCons!$C$4:$C$10000)*1+("LBIO"=[1]OUT_PrimaryEnergyCons!$C$4:$C$10000)*1,[1]OUT_PrimaryEnergyCons!F$4:F$10000)</f>
        <v>2.2466019495471765E-3</v>
      </c>
      <c r="I43" s="1" cm="1">
        <f t="array" ref="I43">SUMPRODUCT(("BIO"=[1]OUT_PrimaryEnergyCons!$C$4:$C$10000)*1+("LBIO"=[1]OUT_PrimaryEnergyCons!$C$4:$C$10000)*1,[1]OUT_PrimaryEnergyCons!G$4:G$10000)</f>
        <v>0.19192879746711933</v>
      </c>
      <c r="J43" s="1" cm="1">
        <f t="array" ref="J43">SUMPRODUCT(("BIO"=[1]OUT_PrimaryEnergyCons!$C$4:$C$10000)*1+("LBIO"=[1]OUT_PrimaryEnergyCons!$C$4:$C$10000)*1,[1]OUT_PrimaryEnergyCons!H$4:H$10000)</f>
        <v>1.6900143740683098</v>
      </c>
      <c r="K43" s="1" cm="1">
        <f t="array" ref="K43">SUMPRODUCT(("BIO"=[1]OUT_PrimaryEnergyCons!$C$4:$C$10000)*1+("LBIO"=[1]OUT_PrimaryEnergyCons!$C$4:$C$10000)*1,[1]OUT_PrimaryEnergyCons!I$4:I$10000)</f>
        <v>8.7985167604720093E-5</v>
      </c>
    </row>
    <row r="44" spans="1:11" x14ac:dyDescent="0.25">
      <c r="A44" s="5" t="str">
        <f t="shared" ref="A44:C45" si="22">A43</f>
        <v>STEM</v>
      </c>
      <c r="B44" s="5" t="str">
        <f t="shared" si="12"/>
        <v>SPS2</v>
      </c>
      <c r="C44" s="5" t="str">
        <f t="shared" si="22"/>
        <v>CH</v>
      </c>
      <c r="D44" t="s">
        <v>786</v>
      </c>
      <c r="E44" t="s">
        <v>8</v>
      </c>
      <c r="F44" s="1">
        <f t="shared" ref="F44:K44" si="23">F45</f>
        <v>0</v>
      </c>
      <c r="G44" s="1">
        <f t="shared" si="23"/>
        <v>3.0169875965005481E-4</v>
      </c>
      <c r="H44" s="1">
        <f t="shared" si="23"/>
        <v>2.2466019495471765E-3</v>
      </c>
      <c r="I44" s="1">
        <f t="shared" si="23"/>
        <v>0.19192879746711933</v>
      </c>
      <c r="J44" s="1">
        <f t="shared" si="23"/>
        <v>0.19192879746711933</v>
      </c>
      <c r="K44" s="1">
        <f t="shared" si="23"/>
        <v>8.7985167604720093E-5</v>
      </c>
    </row>
    <row r="45" spans="1:11" x14ac:dyDescent="0.25">
      <c r="A45" s="5" t="str">
        <f t="shared" si="22"/>
        <v>STEM</v>
      </c>
      <c r="B45" s="5" t="str">
        <f t="shared" si="12"/>
        <v>SPS2</v>
      </c>
      <c r="C45" s="5" t="str">
        <f t="shared" si="22"/>
        <v>CH</v>
      </c>
      <c r="D45" t="s">
        <v>611</v>
      </c>
      <c r="E45" t="s">
        <v>8</v>
      </c>
      <c r="F45" s="1">
        <f>F43</f>
        <v>0</v>
      </c>
      <c r="G45" s="1">
        <f>G43</f>
        <v>3.0169875965005481E-4</v>
      </c>
      <c r="H45" s="1">
        <f>H43</f>
        <v>2.2466019495471765E-3</v>
      </c>
      <c r="I45" s="1">
        <f>I43</f>
        <v>0.19192879746711933</v>
      </c>
      <c r="J45" s="1">
        <f>IF(J43-MAX(F43:I43)&lt;0,J43,MAX(F43:I43))</f>
        <v>0.19192879746711933</v>
      </c>
      <c r="K45" s="1">
        <f>IF(K43-MAX(G43:J43)&lt;0,K43,MAX(G43:J43))</f>
        <v>8.7985167604720093E-5</v>
      </c>
    </row>
    <row r="46" spans="1:11" x14ac:dyDescent="0.25">
      <c r="A46" s="5" t="str">
        <f>A44</f>
        <v>STEM</v>
      </c>
      <c r="B46" s="5" t="str">
        <f t="shared" si="12"/>
        <v>SPS2</v>
      </c>
      <c r="C46" s="5" t="str">
        <f>C44</f>
        <v>CH</v>
      </c>
      <c r="D46" t="s">
        <v>787</v>
      </c>
      <c r="E46" t="s">
        <v>8</v>
      </c>
      <c r="F46" s="1">
        <f t="shared" ref="F46:K46" si="24">F47</f>
        <v>0</v>
      </c>
      <c r="G46" s="1">
        <f t="shared" si="24"/>
        <v>0</v>
      </c>
      <c r="H46" s="1">
        <f t="shared" si="24"/>
        <v>0</v>
      </c>
      <c r="I46" s="1">
        <f t="shared" si="24"/>
        <v>0</v>
      </c>
      <c r="J46" s="1">
        <f t="shared" si="24"/>
        <v>1.4980855766011905</v>
      </c>
      <c r="K46" s="1">
        <f t="shared" si="24"/>
        <v>0</v>
      </c>
    </row>
    <row r="47" spans="1:11" x14ac:dyDescent="0.25">
      <c r="A47" s="5" t="str">
        <f t="shared" ref="A47" si="25">A45</f>
        <v>STEM</v>
      </c>
      <c r="B47" s="5" t="str">
        <f t="shared" si="12"/>
        <v>SPS2</v>
      </c>
      <c r="C47" s="5" t="str">
        <f t="shared" ref="C47" si="26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1.4980855766011905</v>
      </c>
      <c r="K47" s="1">
        <f>K43-K45</f>
        <v>0</v>
      </c>
    </row>
    <row r="48" spans="1:11" x14ac:dyDescent="0.25">
      <c r="A48" s="5" t="str">
        <f>A42</f>
        <v>STEM</v>
      </c>
      <c r="B48" s="5" t="str">
        <f t="shared" si="12"/>
        <v>SPS2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250.94820405058664</v>
      </c>
      <c r="G48" s="1" cm="1">
        <f t="array" ref="G48">SUMPRODUCT(("urn"=[1]OUT_PrimaryEnergyCons!$C$4:$C$10000)*1,[1]OUT_PrimaryEnergyCons!E$4:E$10000)</f>
        <v>253.29948466409297</v>
      </c>
      <c r="H48" s="1" cm="1">
        <f t="array" ref="H48">SUMPRODUCT(("urn"=[1]OUT_PrimaryEnergyCons!$C$4:$C$10000)*1,[1]OUT_PrimaryEnergyCons!F$4:F$10000)</f>
        <v>214.42483478236585</v>
      </c>
      <c r="I48" s="1" cm="1">
        <f t="array" ref="I48">SUMPRODUCT(("urn"=[1]OUT_PrimaryEnergyCons!$C$4:$C$10000)*1,[1]OUT_PrimaryEnergyCons!G$4:G$10000)</f>
        <v>209.58464186465312</v>
      </c>
      <c r="J48" s="1" cm="1">
        <f t="array" ref="J48">SUMPRODUCT(("urn"=[1]OUT_PrimaryEnergyCons!$C$4:$C$10000)*1,[1]OUT_PrimaryEnergyCons!H$4:H$10000)</f>
        <v>97.738500786076813</v>
      </c>
      <c r="K48" s="1" cm="1">
        <f t="array" ref="K48">SUMPRODUCT(("urn"=[1]OUT_PrimaryEnergyCons!$C$4:$C$10000)*1,[1]OUT_PrimaryEnergyCons!I$4:I$10000)</f>
        <v>0</v>
      </c>
    </row>
    <row r="49" spans="1:19" x14ac:dyDescent="0.25">
      <c r="A49" s="5" t="str">
        <f>A37</f>
        <v>STEM</v>
      </c>
      <c r="B49" s="5" t="str">
        <f t="shared" si="12"/>
        <v>SPS2</v>
      </c>
      <c r="C49" s="5" t="str">
        <f>C37</f>
        <v>CH</v>
      </c>
      <c r="D49" t="s">
        <v>789</v>
      </c>
      <c r="E49" t="s">
        <v>8</v>
      </c>
      <c r="F49" s="1">
        <f>SUM(F50:F53)</f>
        <v>97.160002693516702</v>
      </c>
      <c r="G49" s="1">
        <f t="shared" ref="G49:K49" si="27">SUM(G50:G53)</f>
        <v>50.274207768598544</v>
      </c>
      <c r="H49" s="1">
        <f t="shared" si="27"/>
        <v>49.131860568354881</v>
      </c>
      <c r="I49" s="1">
        <f t="shared" si="27"/>
        <v>23.783685093489499</v>
      </c>
      <c r="J49" s="1">
        <f t="shared" si="27"/>
        <v>14.796824124324019</v>
      </c>
      <c r="K49" s="1">
        <f t="shared" si="27"/>
        <v>17.538637432789745</v>
      </c>
    </row>
    <row r="50" spans="1:19" x14ac:dyDescent="0.25">
      <c r="A50" s="5" t="str">
        <f t="shared" si="3"/>
        <v>STEM</v>
      </c>
      <c r="B50" s="5" t="str">
        <f t="shared" si="12"/>
        <v>SPS2</v>
      </c>
      <c r="C50" s="5" t="str">
        <f t="shared" si="4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15.013806384834073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0.81980034181553141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0.5706625299460979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0.14760693832691235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0.23925317835188925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5.1607138229248859</v>
      </c>
    </row>
    <row r="51" spans="1:19" x14ac:dyDescent="0.25">
      <c r="A51" s="5" t="str">
        <f t="shared" si="3"/>
        <v>STEM</v>
      </c>
      <c r="B51" s="5" t="str">
        <f t="shared" si="12"/>
        <v>SPS2</v>
      </c>
      <c r="C51" s="5" t="str">
        <f t="shared" si="4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28.94862176921502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25.883627035283023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28.673913007730871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14.280897820157316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6.078817014736793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6.3534575695887678</v>
      </c>
    </row>
    <row r="52" spans="1:19" x14ac:dyDescent="0.25">
      <c r="A52" s="5" t="str">
        <f t="shared" si="3"/>
        <v>STEM</v>
      </c>
      <c r="B52" s="5" t="str">
        <f t="shared" si="12"/>
        <v>SPS2</v>
      </c>
      <c r="C52" s="5" t="str">
        <f t="shared" si="4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46.398476168316854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23.570237274167592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19.886815906386978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9.3549973988601458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8.4785677161720372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6.024327301344881</v>
      </c>
    </row>
    <row r="53" spans="1:19" x14ac:dyDescent="0.25">
      <c r="A53" s="5" t="str">
        <f t="shared" si="3"/>
        <v>STEM</v>
      </c>
      <c r="B53" s="5" t="str">
        <f t="shared" si="12"/>
        <v>SPS2</v>
      </c>
      <c r="C53" s="5" t="str">
        <f t="shared" si="4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6.7990983711507553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5.4311733239977217E-4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4.6912429093067822E-4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1.829361451253909E-4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1.8621506329765045E-4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1.3873893121107785E-4</v>
      </c>
    </row>
    <row r="54" spans="1:19" x14ac:dyDescent="0.25">
      <c r="A54" s="5" t="str">
        <f t="shared" ref="A54" si="28">A53</f>
        <v>STEM</v>
      </c>
      <c r="B54" s="5" t="str">
        <f t="shared" si="12"/>
        <v>SPS2</v>
      </c>
      <c r="C54" s="5" t="str">
        <f t="shared" ref="C54" si="29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0</v>
      </c>
      <c r="K54" s="1" cm="1">
        <f t="array" ref="K54">SUMPRODUCT(("h2"=[1]OUT_PrimaryEnergyCons!$C$4:$C$10000)*1,[1]OUT_PrimaryEnergyCons!I$4:I$10000)</f>
        <v>0</v>
      </c>
    </row>
    <row r="55" spans="1:19" x14ac:dyDescent="0.25">
      <c r="A55" s="9" t="str">
        <f>A53</f>
        <v>STEM</v>
      </c>
      <c r="B55" s="9" t="str">
        <f t="shared" si="12"/>
        <v>SPS2</v>
      </c>
      <c r="C55" s="2" t="str">
        <f>C53</f>
        <v>CH</v>
      </c>
      <c r="D55" s="2" t="s">
        <v>24</v>
      </c>
      <c r="E55" s="2" t="s">
        <v>8</v>
      </c>
      <c r="F55" s="3">
        <f>F56</f>
        <v>117.17000430932094</v>
      </c>
      <c r="G55" s="3">
        <f t="shared" ref="G55:K55" si="30">G56</f>
        <v>35.427139978508777</v>
      </c>
      <c r="H55" s="3">
        <f t="shared" si="30"/>
        <v>53.580318248278118</v>
      </c>
      <c r="I55" s="3">
        <f t="shared" si="30"/>
        <v>25.783685062897778</v>
      </c>
      <c r="J55" s="3">
        <f t="shared" si="30"/>
        <v>16.796821376898681</v>
      </c>
      <c r="K55" s="3">
        <f t="shared" si="30"/>
        <v>19.538637795587157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si="12"/>
        <v>SPS2</v>
      </c>
      <c r="C56" s="5" t="str">
        <f t="shared" si="4"/>
        <v>CH</v>
      </c>
      <c r="D56" t="s">
        <v>791</v>
      </c>
      <c r="E56" t="str">
        <f>E55</f>
        <v>PJ/yr.</v>
      </c>
      <c r="F56" s="1">
        <f>SUM(F57:F60)</f>
        <v>117.17000430932094</v>
      </c>
      <c r="G56" s="1">
        <f t="shared" ref="G56:K56" si="31">SUM(G57:G60)</f>
        <v>35.427139978508777</v>
      </c>
      <c r="H56" s="1">
        <f t="shared" si="31"/>
        <v>53.580318248278118</v>
      </c>
      <c r="I56" s="1">
        <f t="shared" si="31"/>
        <v>25.783685062897778</v>
      </c>
      <c r="J56" s="1">
        <f t="shared" si="31"/>
        <v>16.796821376898681</v>
      </c>
      <c r="K56" s="1">
        <f t="shared" si="31"/>
        <v>19.538637795587157</v>
      </c>
      <c r="N56" s="1"/>
    </row>
    <row r="57" spans="1:19" x14ac:dyDescent="0.25">
      <c r="A57" s="5" t="str">
        <f t="shared" ref="A57:A61" si="32">A56</f>
        <v>STEM</v>
      </c>
      <c r="B57" s="5" t="str">
        <f t="shared" si="12"/>
        <v>SPS2</v>
      </c>
      <c r="C57" s="5" t="str">
        <f t="shared" si="4"/>
        <v>CH</v>
      </c>
      <c r="D57" t="s">
        <v>25</v>
      </c>
      <c r="E57" t="str">
        <f t="shared" ref="E57:E60" si="33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6.2295563048297646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8.3047387312478805E-4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9.2619791741118144E-4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1.9468119262323126E-4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1.8982870692855588E-4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1.1458107527795156E-4</v>
      </c>
    </row>
    <row r="58" spans="1:19" x14ac:dyDescent="0.25">
      <c r="A58" s="5" t="str">
        <f t="shared" si="32"/>
        <v>STEM</v>
      </c>
      <c r="B58" s="5" t="str">
        <f t="shared" si="12"/>
        <v>SPS2</v>
      </c>
      <c r="C58" s="5" t="str">
        <f t="shared" si="4"/>
        <v>CH</v>
      </c>
      <c r="D58" t="s">
        <v>26</v>
      </c>
      <c r="E58" t="str">
        <f t="shared" si="33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12.753359835725325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6.3477257548650635E-4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5.8738190422753887E-4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2.4499124513244327E-4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8.8005064445023163E-4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4.8209209762435689E-4</v>
      </c>
    </row>
    <row r="59" spans="1:19" x14ac:dyDescent="0.25">
      <c r="A59" s="5" t="str">
        <f t="shared" si="32"/>
        <v>STEM</v>
      </c>
      <c r="B59" s="5" t="str">
        <f t="shared" si="12"/>
        <v>SPS2</v>
      </c>
      <c r="C59" s="5" t="str">
        <f t="shared" si="4"/>
        <v>CH</v>
      </c>
      <c r="D59" t="s">
        <v>27</v>
      </c>
      <c r="E59" t="str">
        <f t="shared" si="33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26.492980330511024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5.3201580183992198E-4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5.6648014142028722E-4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4.9475731783191386E-4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1.2986102068651157E-3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3.9139119713352429E-4</v>
      </c>
    </row>
    <row r="60" spans="1:19" x14ac:dyDescent="0.25">
      <c r="A60" s="5" t="str">
        <f t="shared" si="32"/>
        <v>STEM</v>
      </c>
      <c r="B60" s="5" t="str">
        <f t="shared" si="12"/>
        <v>SPS2</v>
      </c>
      <c r="C60" s="5" t="str">
        <f t="shared" si="4"/>
        <v>CH</v>
      </c>
      <c r="D60" t="s">
        <v>28</v>
      </c>
      <c r="E60" t="str">
        <f t="shared" si="33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71.694107838254823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35.425142716258328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53.578238188315062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25.782750633142189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16.794452887340437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19.537649731217122</v>
      </c>
    </row>
    <row r="61" spans="1:19" x14ac:dyDescent="0.25">
      <c r="A61" s="9" t="str">
        <f t="shared" si="32"/>
        <v>STEM</v>
      </c>
      <c r="B61" s="9" t="str">
        <f t="shared" si="12"/>
        <v>SPS2</v>
      </c>
      <c r="C61" s="2" t="str">
        <f t="shared" ref="C61:C62" si="34">C60</f>
        <v>CH</v>
      </c>
      <c r="D61" s="2" t="s">
        <v>29</v>
      </c>
      <c r="E61" s="2" t="s">
        <v>8</v>
      </c>
      <c r="F61" s="3">
        <f>SUM(F62,F64,F68,F80,F128,F149,F157,F159,F167,F171,F165)</f>
        <v>250.71656620547498</v>
      </c>
      <c r="G61" s="3">
        <f t="shared" ref="G61:K61" si="35">SUM(G62,G64,G72,G80,G128,G149,G157,G159,G167,G171,G165)</f>
        <v>229.29412607583401</v>
      </c>
      <c r="H61" s="3">
        <f t="shared" si="35"/>
        <v>277.18628484565494</v>
      </c>
      <c r="I61" s="3">
        <f t="shared" si="35"/>
        <v>302.84722511160732</v>
      </c>
      <c r="J61" s="3">
        <f t="shared" si="35"/>
        <v>322.2076881295049</v>
      </c>
      <c r="K61" s="3">
        <f t="shared" si="35"/>
        <v>374.09040385220226</v>
      </c>
    </row>
    <row r="62" spans="1:19" x14ac:dyDescent="0.25">
      <c r="A62" s="5" t="str">
        <f>A61</f>
        <v>STEM</v>
      </c>
      <c r="B62" s="5" t="str">
        <f t="shared" si="12"/>
        <v>SPS2</v>
      </c>
      <c r="C62" s="5" t="str">
        <f t="shared" si="34"/>
        <v>CH</v>
      </c>
      <c r="D62" t="s">
        <v>792</v>
      </c>
      <c r="E62" t="str">
        <f>E60</f>
        <v>PJ/yr.</v>
      </c>
      <c r="F62" s="1">
        <f>+F63</f>
        <v>82.76000080986357</v>
      </c>
      <c r="G62" s="1">
        <f t="shared" ref="G62:K62" si="36">+G63</f>
        <v>82.75992981035094</v>
      </c>
      <c r="H62" s="1">
        <f t="shared" si="36"/>
        <v>70.327306655610698</v>
      </c>
      <c r="I62" s="1">
        <f t="shared" si="36"/>
        <v>69.196990615373764</v>
      </c>
      <c r="J62" s="1">
        <f t="shared" si="36"/>
        <v>32.420318858540952</v>
      </c>
      <c r="K62" s="1">
        <f t="shared" si="36"/>
        <v>0</v>
      </c>
    </row>
    <row r="63" spans="1:19" x14ac:dyDescent="0.25">
      <c r="A63" s="5" t="str">
        <f t="shared" ref="A63:B147" si="37">A62</f>
        <v>STEM</v>
      </c>
      <c r="B63" s="5" t="str">
        <f t="shared" si="12"/>
        <v>SPS2</v>
      </c>
      <c r="C63" s="5" t="str">
        <f t="shared" ref="C63:C147" si="38">C62</f>
        <v>CH</v>
      </c>
      <c r="D63" t="s">
        <v>30</v>
      </c>
      <c r="E63" t="str">
        <f>E61</f>
        <v>PJ/yr.</v>
      </c>
      <c r="F63" s="1">
        <f>'[1]Electricity and CHPs'!B14</f>
        <v>82.76000080986357</v>
      </c>
      <c r="G63" s="1">
        <f>'[1]Electricity and CHPs'!C14</f>
        <v>82.75992981035094</v>
      </c>
      <c r="H63" s="1">
        <f>'[1]Electricity and CHPs'!D14</f>
        <v>70.327306655610698</v>
      </c>
      <c r="I63" s="1">
        <f>'[1]Electricity and CHPs'!E14</f>
        <v>69.196990615373764</v>
      </c>
      <c r="J63" s="1">
        <f>'[1]Electricity and CHPs'!F14</f>
        <v>32.420318858540952</v>
      </c>
      <c r="K63" s="1">
        <f>'[1]Electricity and CHPs'!G14</f>
        <v>0</v>
      </c>
    </row>
    <row r="64" spans="1:19" x14ac:dyDescent="0.25">
      <c r="A64" s="5" t="str">
        <f t="shared" si="37"/>
        <v>STEM</v>
      </c>
      <c r="B64" s="5" t="str">
        <f t="shared" si="12"/>
        <v>SPS2</v>
      </c>
      <c r="C64" s="5" t="str">
        <f t="shared" si="38"/>
        <v>CH</v>
      </c>
      <c r="D64" t="s">
        <v>793</v>
      </c>
      <c r="E64" t="str">
        <f>E63</f>
        <v>PJ/yr.</v>
      </c>
      <c r="F64" s="1">
        <f>SUM(F65:F67)</f>
        <v>146.22000385123249</v>
      </c>
      <c r="G64" s="1">
        <f t="shared" ref="G64:K64" si="39">SUM(G65:G67)</f>
        <v>121.5987315756574</v>
      </c>
      <c r="H64" s="1">
        <f t="shared" si="39"/>
        <v>165.74242669796448</v>
      </c>
      <c r="I64" s="1">
        <f t="shared" si="39"/>
        <v>147.56233981431396</v>
      </c>
      <c r="J64" s="1">
        <f t="shared" si="39"/>
        <v>150.41953034847717</v>
      </c>
      <c r="K64" s="1">
        <f t="shared" si="39"/>
        <v>154.28051013511435</v>
      </c>
    </row>
    <row r="65" spans="1:11" x14ac:dyDescent="0.25">
      <c r="A65" s="5" t="str">
        <f t="shared" si="37"/>
        <v>STEM</v>
      </c>
      <c r="B65" s="5" t="str">
        <f t="shared" si="12"/>
        <v>SPS2</v>
      </c>
      <c r="C65" s="5" t="str">
        <f t="shared" si="38"/>
        <v>CH</v>
      </c>
      <c r="D65" t="s">
        <v>31</v>
      </c>
      <c r="E65" t="str">
        <f>E63</f>
        <v>PJ/yr.</v>
      </c>
      <c r="F65" s="1">
        <f>'[1]Electricity and CHPs'!B15</f>
        <v>66.745680037436841</v>
      </c>
      <c r="G65" s="1">
        <f>'[1]Electricity and CHPs'!C15</f>
        <v>49.798798693986065</v>
      </c>
      <c r="H65" s="1">
        <f>'[1]Electricity and CHPs'!D15</f>
        <v>68.535157590789154</v>
      </c>
      <c r="I65" s="1">
        <f>'[1]Electricity and CHPs'!E15</f>
        <v>70.23000454847741</v>
      </c>
      <c r="J65" s="1">
        <f>'[1]Electricity and CHPs'!F15</f>
        <v>70.772721031926437</v>
      </c>
      <c r="K65" s="1">
        <f>'[1]Electricity and CHPs'!G15</f>
        <v>74.336055534228123</v>
      </c>
    </row>
    <row r="66" spans="1:11" x14ac:dyDescent="0.25">
      <c r="A66" s="5" t="str">
        <f t="shared" si="37"/>
        <v>STEM</v>
      </c>
      <c r="B66" s="5" t="str">
        <f t="shared" si="12"/>
        <v>SPS2</v>
      </c>
      <c r="C66" s="5" t="str">
        <f t="shared" si="38"/>
        <v>CH</v>
      </c>
      <c r="D66" t="s">
        <v>32</v>
      </c>
      <c r="E66" t="str">
        <f t="shared" ref="E66:E67" si="40">E65</f>
        <v>PJ/yr.</v>
      </c>
      <c r="F66" s="1">
        <f>'[1]Electricity and CHPs'!B16</f>
        <v>66.632401819639057</v>
      </c>
      <c r="G66" s="1">
        <f>'[1]Electricity and CHPs'!C16</f>
        <v>55.764000216803026</v>
      </c>
      <c r="H66" s="1">
        <f>'[1]Electricity and CHPs'!D16</f>
        <v>65.550182888372618</v>
      </c>
      <c r="I66" s="1">
        <f>'[1]Electricity and CHPs'!E16</f>
        <v>64.469267731764319</v>
      </c>
      <c r="J66" s="1">
        <f>'[1]Electricity and CHPs'!F16</f>
        <v>66.300719994511383</v>
      </c>
      <c r="K66" s="1">
        <f>'[1]Electricity and CHPs'!G16</f>
        <v>66.134974085555285</v>
      </c>
    </row>
    <row r="67" spans="1:11" x14ac:dyDescent="0.25">
      <c r="A67" s="5" t="str">
        <f t="shared" si="37"/>
        <v>STEM</v>
      </c>
      <c r="B67" s="5" t="str">
        <f t="shared" si="12"/>
        <v>SPS2</v>
      </c>
      <c r="C67" s="5" t="str">
        <f t="shared" si="38"/>
        <v>CH</v>
      </c>
      <c r="D67" t="s">
        <v>33</v>
      </c>
      <c r="E67" t="str">
        <f t="shared" si="40"/>
        <v>PJ/yr.</v>
      </c>
      <c r="F67" s="1">
        <f>'[1]Electricity and CHPs'!B17</f>
        <v>12.841921994156607</v>
      </c>
      <c r="G67" s="1">
        <f>'[1]Electricity and CHPs'!C17</f>
        <v>16.035932664868302</v>
      </c>
      <c r="H67" s="1">
        <f>'[1]Electricity and CHPs'!D17</f>
        <v>31.657086218802693</v>
      </c>
      <c r="I67" s="1">
        <f>'[1]Electricity and CHPs'!E17</f>
        <v>12.863067534072233</v>
      </c>
      <c r="J67" s="1">
        <f>'[1]Electricity and CHPs'!F17</f>
        <v>13.346089322039344</v>
      </c>
      <c r="K67" s="1">
        <f>'[1]Electricity and CHPs'!G17</f>
        <v>13.809480515330948</v>
      </c>
    </row>
    <row r="68" spans="1:11" x14ac:dyDescent="0.25">
      <c r="A68" s="5" t="str">
        <f>A59</f>
        <v>STEM</v>
      </c>
      <c r="B68" s="5" t="str">
        <f t="shared" si="12"/>
        <v>SPS2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0.11190418699199452</v>
      </c>
      <c r="G68" s="1">
        <f t="shared" ref="G68" si="41">SUM(G69:G71)</f>
        <v>0.17152850432459735</v>
      </c>
      <c r="H68" s="1">
        <f t="shared" ref="H68" si="42">SUM(H69:H71)</f>
        <v>1.2613802811843341E-2</v>
      </c>
      <c r="I68" s="1">
        <f t="shared" ref="I68" si="43">SUM(I69:I71)</f>
        <v>0.17153000231941307</v>
      </c>
      <c r="J68" s="1">
        <f t="shared" ref="J68" si="44">SUM(J69:J71)</f>
        <v>2.2845108454459962E-2</v>
      </c>
      <c r="K68" s="1">
        <f t="shared" ref="K68" si="45">SUM(K69:K71)</f>
        <v>4.6327238890378481E-4</v>
      </c>
    </row>
    <row r="69" spans="1:11" x14ac:dyDescent="0.25">
      <c r="A69" s="5" t="str">
        <f>A68</f>
        <v>STEM</v>
      </c>
      <c r="B69" s="5" t="str">
        <f t="shared" si="12"/>
        <v>SPS2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3.9601037501547177E-2</v>
      </c>
      <c r="G69" s="1">
        <f>'[1]Electricity and CHPs'!C18</f>
        <v>1.4092354532420755E-4</v>
      </c>
      <c r="H69" s="1">
        <f>'[1]Electricity and CHPs'!D18</f>
        <v>7.1723371228720008E-3</v>
      </c>
      <c r="I69" s="1">
        <f>'[1]Electricity and CHPs'!E18</f>
        <v>1.2665510225199257E-3</v>
      </c>
      <c r="J69" s="1">
        <f>'[1]Electricity and CHPs'!F18</f>
        <v>3.325441061339E-3</v>
      </c>
      <c r="K69" s="1">
        <f>'[1]Electricity and CHPs'!G18</f>
        <v>9.4816068635571359E-6</v>
      </c>
    </row>
    <row r="70" spans="1:11" x14ac:dyDescent="0.25">
      <c r="A70" s="5" t="str">
        <f t="shared" ref="A70:A71" si="46">A69</f>
        <v>STEM</v>
      </c>
      <c r="B70" s="5" t="str">
        <f t="shared" si="12"/>
        <v>SPS2</v>
      </c>
      <c r="C70" s="5" t="str">
        <f t="shared" ref="C70:C71" si="47">C69</f>
        <v>CH</v>
      </c>
      <c r="D70" t="s">
        <v>228</v>
      </c>
      <c r="E70" t="str">
        <f>E124</f>
        <v>PJ/yr.</v>
      </c>
      <c r="F70" s="1">
        <f>'[1]Electricity and CHPs'!B28</f>
        <v>1.8010378432154785E-3</v>
      </c>
      <c r="G70" s="1">
        <f>'[1]Electricity and CHPs'!C28</f>
        <v>9.1985421407529634E-5</v>
      </c>
      <c r="H70" s="1">
        <f>'[1]Electricity and CHPs'!D28</f>
        <v>1.891399596519497E-3</v>
      </c>
      <c r="I70" s="1">
        <f>'[1]Electricity and CHPs'!E28</f>
        <v>9.078416347137779E-4</v>
      </c>
      <c r="J70" s="1">
        <f>'[1]Electricity and CHPs'!F28</f>
        <v>1.0742101832848542E-3</v>
      </c>
      <c r="K70" s="1">
        <f>'[1]Electricity and CHPs'!G28</f>
        <v>0</v>
      </c>
    </row>
    <row r="71" spans="1:11" x14ac:dyDescent="0.25">
      <c r="A71" s="5" t="str">
        <f t="shared" si="46"/>
        <v>STEM</v>
      </c>
      <c r="B71" s="5" t="str">
        <f t="shared" si="12"/>
        <v>SPS2</v>
      </c>
      <c r="C71" s="5" t="str">
        <f t="shared" si="47"/>
        <v>CH</v>
      </c>
      <c r="D71" t="s">
        <v>40</v>
      </c>
      <c r="E71" t="str">
        <f>E79</f>
        <v>PJ/yr.</v>
      </c>
      <c r="F71" s="1">
        <f>'[1]Electricity and CHPs'!B41</f>
        <v>7.0502111647231858E-2</v>
      </c>
      <c r="G71" s="1">
        <f>'[1]Electricity and CHPs'!C41</f>
        <v>0.17129559535786562</v>
      </c>
      <c r="H71" s="1">
        <f>'[1]Electricity and CHPs'!D41</f>
        <v>3.5500660924518445E-3</v>
      </c>
      <c r="I71" s="1">
        <f>'[1]Electricity and CHPs'!E41</f>
        <v>0.16935560966217936</v>
      </c>
      <c r="J71" s="1">
        <f>'[1]Electricity and CHPs'!F41</f>
        <v>1.8445457209836109E-2</v>
      </c>
      <c r="K71" s="1">
        <f>'[1]Electricity and CHPs'!G41</f>
        <v>4.5379078204022769E-4</v>
      </c>
    </row>
    <row r="72" spans="1:11" x14ac:dyDescent="0.25">
      <c r="A72" s="5" t="str">
        <f>A67</f>
        <v>STEM</v>
      </c>
      <c r="B72" s="5" t="str">
        <f t="shared" si="12"/>
        <v>SPS2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0.11190418699199452</v>
      </c>
      <c r="G72" s="1">
        <f t="shared" ref="G72:K72" si="48">SUM(G73:G75)</f>
        <v>0.17152850432459735</v>
      </c>
      <c r="H72" s="1">
        <f t="shared" si="48"/>
        <v>1.2613802811843341E-2</v>
      </c>
      <c r="I72" s="1">
        <f t="shared" si="48"/>
        <v>0.17153000231941307</v>
      </c>
      <c r="J72" s="1">
        <f t="shared" si="48"/>
        <v>2.2845108454459962E-2</v>
      </c>
      <c r="K72" s="1">
        <f t="shared" si="48"/>
        <v>4.6327238890378481E-4</v>
      </c>
    </row>
    <row r="73" spans="1:11" x14ac:dyDescent="0.25">
      <c r="A73" s="5" t="str">
        <f>A72</f>
        <v>STEM</v>
      </c>
      <c r="B73" s="5" t="str">
        <f t="shared" si="12"/>
        <v>SPS2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3.9601037501547177E-2</v>
      </c>
      <c r="G73" s="1">
        <f t="shared" ref="G73:K73" si="49">G69</f>
        <v>1.4092354532420755E-4</v>
      </c>
      <c r="H73" s="1">
        <f t="shared" si="49"/>
        <v>7.1723371228720008E-3</v>
      </c>
      <c r="I73" s="1">
        <f t="shared" si="49"/>
        <v>1.2665510225199257E-3</v>
      </c>
      <c r="J73" s="1">
        <f t="shared" si="49"/>
        <v>3.325441061339E-3</v>
      </c>
      <c r="K73" s="1">
        <f t="shared" si="49"/>
        <v>9.4816068635571359E-6</v>
      </c>
    </row>
    <row r="74" spans="1:11" x14ac:dyDescent="0.25">
      <c r="A74" s="5" t="str">
        <f t="shared" si="37"/>
        <v>STEM</v>
      </c>
      <c r="B74" s="5" t="str">
        <f t="shared" si="12"/>
        <v>SPS2</v>
      </c>
      <c r="C74" s="5" t="str">
        <f t="shared" si="38"/>
        <v>CH</v>
      </c>
      <c r="D74" t="s">
        <v>515</v>
      </c>
      <c r="E74" t="str">
        <f>E132</f>
        <v>PJ/yr.</v>
      </c>
      <c r="F74" s="1">
        <f>'[1]Electricity and CHPs'!B28</f>
        <v>1.8010378432154785E-3</v>
      </c>
      <c r="G74" s="1">
        <f>'[1]Electricity and CHPs'!C28</f>
        <v>9.1985421407529634E-5</v>
      </c>
      <c r="H74" s="1">
        <f>'[1]Electricity and CHPs'!D28</f>
        <v>1.891399596519497E-3</v>
      </c>
      <c r="I74" s="1">
        <f>'[1]Electricity and CHPs'!E28</f>
        <v>9.078416347137779E-4</v>
      </c>
      <c r="J74" s="1">
        <f>'[1]Electricity and CHPs'!F28</f>
        <v>1.0742101832848542E-3</v>
      </c>
      <c r="K74" s="1">
        <f>'[1]Electricity and CHPs'!G28</f>
        <v>0</v>
      </c>
    </row>
    <row r="75" spans="1:11" x14ac:dyDescent="0.25">
      <c r="A75" s="5" t="str">
        <f t="shared" si="37"/>
        <v>STEM</v>
      </c>
      <c r="B75" s="5" t="str">
        <f t="shared" si="12"/>
        <v>SPS2</v>
      </c>
      <c r="C75" s="5" t="str">
        <f t="shared" si="38"/>
        <v>CH</v>
      </c>
      <c r="D75" t="s">
        <v>516</v>
      </c>
      <c r="E75" t="str">
        <f>E87</f>
        <v>PJ/yr.</v>
      </c>
      <c r="F75" s="1">
        <f>'[1]Electricity and CHPs'!B41</f>
        <v>7.0502111647231858E-2</v>
      </c>
      <c r="G75" s="1">
        <f>'[1]Electricity and CHPs'!C41</f>
        <v>0.17129559535786562</v>
      </c>
      <c r="H75" s="1">
        <f>'[1]Electricity and CHPs'!D41</f>
        <v>3.5500660924518445E-3</v>
      </c>
      <c r="I75" s="1">
        <f>'[1]Electricity and CHPs'!E41</f>
        <v>0.16935560966217936</v>
      </c>
      <c r="J75" s="1">
        <f>'[1]Electricity and CHPs'!F41</f>
        <v>1.8445457209836109E-2</v>
      </c>
      <c r="K75" s="1">
        <f>'[1]Electricity and CHPs'!G41</f>
        <v>4.5379078204022769E-4</v>
      </c>
    </row>
    <row r="76" spans="1:11" x14ac:dyDescent="0.25">
      <c r="A76" s="5" t="str">
        <f t="shared" ref="A76:C77" si="50">A74</f>
        <v>STEM</v>
      </c>
      <c r="B76" s="5" t="str">
        <f t="shared" si="12"/>
        <v>SPS2</v>
      </c>
      <c r="C76" s="5" t="str">
        <f t="shared" si="50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1">SUM(G77:G79)</f>
        <v>0</v>
      </c>
      <c r="H76" s="1">
        <f t="shared" si="51"/>
        <v>0</v>
      </c>
      <c r="I76" s="1">
        <f t="shared" si="51"/>
        <v>0</v>
      </c>
      <c r="J76" s="1">
        <f t="shared" si="51"/>
        <v>0</v>
      </c>
      <c r="K76" s="1">
        <f t="shared" si="51"/>
        <v>0</v>
      </c>
    </row>
    <row r="77" spans="1:11" x14ac:dyDescent="0.25">
      <c r="A77" s="5" t="str">
        <f t="shared" si="50"/>
        <v>STEM</v>
      </c>
      <c r="B77" s="5" t="str">
        <f t="shared" si="12"/>
        <v>SPS2</v>
      </c>
      <c r="C77" s="5" t="str">
        <f t="shared" si="50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37"/>
        <v>STEM</v>
      </c>
      <c r="B78" s="5" t="str">
        <f t="shared" si="12"/>
        <v>SPS2</v>
      </c>
      <c r="C78" s="5" t="str">
        <f t="shared" si="38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37"/>
        <v>STEM</v>
      </c>
      <c r="B79" s="5" t="str">
        <f t="shared" si="12"/>
        <v>SPS2</v>
      </c>
      <c r="C79" s="5" t="str">
        <f t="shared" si="38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37"/>
        <v>STEM</v>
      </c>
      <c r="B80" s="5" t="str">
        <f t="shared" si="12"/>
        <v>SPS2</v>
      </c>
      <c r="C80" s="5" t="str">
        <f t="shared" si="38"/>
        <v>CH</v>
      </c>
      <c r="D80" t="s">
        <v>797</v>
      </c>
      <c r="E80" t="str">
        <f>E129</f>
        <v>PJ/yr.</v>
      </c>
      <c r="F80" s="1">
        <f>SUM(F81:F95)</f>
        <v>3.2860549003693995</v>
      </c>
      <c r="G80" s="1">
        <f t="shared" ref="G80:K80" si="52">SUM(G81:G95)</f>
        <v>1.9498338795789114</v>
      </c>
      <c r="H80" s="1">
        <f t="shared" si="52"/>
        <v>1.1888119602754519</v>
      </c>
      <c r="I80" s="1">
        <f t="shared" si="52"/>
        <v>1.4695286957769709</v>
      </c>
      <c r="J80" s="1">
        <f t="shared" si="52"/>
        <v>3.5399327363462838</v>
      </c>
      <c r="K80" s="1">
        <f t="shared" si="52"/>
        <v>2.4228331332279618</v>
      </c>
    </row>
    <row r="81" spans="1:11" x14ac:dyDescent="0.25">
      <c r="A81" s="5" t="str">
        <f t="shared" si="37"/>
        <v>STEM</v>
      </c>
      <c r="B81" s="5" t="str">
        <f t="shared" si="12"/>
        <v>SPS2</v>
      </c>
      <c r="C81" s="5" t="str">
        <f t="shared" si="38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4.11453410524278E-2</v>
      </c>
      <c r="K81" s="1">
        <f>'[1]Electricity and CHPs'!G21</f>
        <v>7.618771309468122E-4</v>
      </c>
    </row>
    <row r="82" spans="1:11" x14ac:dyDescent="0.25">
      <c r="A82" s="5" t="str">
        <f t="shared" si="37"/>
        <v>STEM</v>
      </c>
      <c r="B82" s="5" t="str">
        <f t="shared" si="12"/>
        <v>SPS2</v>
      </c>
      <c r="C82" s="5" t="str">
        <f t="shared" si="38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6.3644600498899428E-4</v>
      </c>
      <c r="H82" s="1">
        <f>'[1]Electricity and CHPs'!D22</f>
        <v>1.5288145220587558E-2</v>
      </c>
      <c r="I82" s="1">
        <f>'[1]Electricity and CHPs'!E22</f>
        <v>1.9338420630822899E-2</v>
      </c>
      <c r="J82" s="1">
        <f>'[1]Electricity and CHPs'!F22</f>
        <v>0.38837899167573153</v>
      </c>
      <c r="K82" s="1">
        <f>'[1]Electricity and CHPs'!G22</f>
        <v>5.6862485026234191E-3</v>
      </c>
    </row>
    <row r="83" spans="1:11" x14ac:dyDescent="0.25">
      <c r="A83" s="5" t="str">
        <f t="shared" si="37"/>
        <v>STEM</v>
      </c>
      <c r="B83" s="5" t="str">
        <f t="shared" si="12"/>
        <v>SPS2</v>
      </c>
      <c r="C83" s="5" t="str">
        <f t="shared" si="38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2.871749113906447E-3</v>
      </c>
      <c r="K83" s="1">
        <f>'[1]Electricity and CHPs'!G23</f>
        <v>1.9047421724173183E-3</v>
      </c>
    </row>
    <row r="84" spans="1:11" x14ac:dyDescent="0.25">
      <c r="A84" s="5" t="str">
        <f t="shared" si="37"/>
        <v>STEM</v>
      </c>
      <c r="B84" s="5" t="str">
        <f t="shared" si="12"/>
        <v>SPS2</v>
      </c>
      <c r="C84" s="5" t="str">
        <f t="shared" si="38"/>
        <v>CH</v>
      </c>
      <c r="D84" t="s">
        <v>38</v>
      </c>
      <c r="E84" t="str">
        <f>E83</f>
        <v>PJ/yr.</v>
      </c>
      <c r="F84" s="1">
        <f>'[1]Electricity and CHPs'!B24</f>
        <v>0.96588068318343512</v>
      </c>
      <c r="G84" s="1">
        <f>'[1]Electricity and CHPs'!C24</f>
        <v>6.1733617200563132E-4</v>
      </c>
      <c r="H84" s="1">
        <f>'[1]Electricity and CHPs'!D24</f>
        <v>5.8442348639366464E-3</v>
      </c>
      <c r="I84" s="1">
        <f>'[1]Electricity and CHPs'!E24</f>
        <v>2.0740263237974156E-3</v>
      </c>
      <c r="J84" s="1">
        <f>'[1]Electricity and CHPs'!F24</f>
        <v>2.2010303319136774E-2</v>
      </c>
      <c r="K84" s="1">
        <f>'[1]Electricity and CHPs'!G24</f>
        <v>1.6685303862715173E-4</v>
      </c>
    </row>
    <row r="85" spans="1:11" x14ac:dyDescent="0.25">
      <c r="A85" s="5" t="str">
        <f t="shared" si="37"/>
        <v>STEM</v>
      </c>
      <c r="B85" s="5" t="str">
        <f t="shared" si="12"/>
        <v>SPS2</v>
      </c>
      <c r="C85" s="5" t="str">
        <f t="shared" si="38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3.1682979327880126E-2</v>
      </c>
      <c r="K85" s="1">
        <f>'[1]Electricity and CHPs'!G29</f>
        <v>2.7517917833131192E-4</v>
      </c>
    </row>
    <row r="86" spans="1:11" x14ac:dyDescent="0.25">
      <c r="A86" s="5" t="str">
        <f t="shared" si="37"/>
        <v>STEM</v>
      </c>
      <c r="B86" s="5" t="str">
        <f t="shared" si="12"/>
        <v>SPS2</v>
      </c>
      <c r="C86" s="5" t="str">
        <f t="shared" si="38"/>
        <v>CH</v>
      </c>
      <c r="D86" t="s">
        <v>41</v>
      </c>
      <c r="E86" t="str">
        <f>E164</f>
        <v>PJ/yr.</v>
      </c>
      <c r="F86" s="1">
        <f>'[1]Electricity and CHPs'!B39</f>
        <v>0.6699651832342044</v>
      </c>
      <c r="G86" s="1">
        <f>'[1]Electricity and CHPs'!C39</f>
        <v>0.21240024145216624</v>
      </c>
      <c r="H86" s="1">
        <f>'[1]Electricity and CHPs'!D39</f>
        <v>5.0201815304793812E-2</v>
      </c>
      <c r="I86" s="1">
        <f>'[1]Electricity and CHPs'!E39</f>
        <v>0.33665523761335664</v>
      </c>
      <c r="J86" s="1">
        <f>'[1]Electricity and CHPs'!F39</f>
        <v>1.7130204754263845</v>
      </c>
      <c r="K86" s="1">
        <f>'[1]Electricity and CHPs'!G39</f>
        <v>0.82671682981531736</v>
      </c>
    </row>
    <row r="87" spans="1:11" x14ac:dyDescent="0.25">
      <c r="A87" s="5" t="str">
        <f t="shared" si="37"/>
        <v>STEM</v>
      </c>
      <c r="B87" s="5" t="str">
        <f t="shared" si="12"/>
        <v>SPS2</v>
      </c>
      <c r="C87" s="5" t="str">
        <f t="shared" si="38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1.541551885744592E-3</v>
      </c>
      <c r="K87" s="1">
        <f>'[1]Electricity and CHPs'!G40</f>
        <v>0.47801121488300274</v>
      </c>
    </row>
    <row r="88" spans="1:11" x14ac:dyDescent="0.25">
      <c r="A88" s="5" t="str">
        <f t="shared" si="37"/>
        <v>STEM</v>
      </c>
      <c r="B88" s="5" t="str">
        <f t="shared" si="37"/>
        <v>SPS2</v>
      </c>
      <c r="C88" s="5" t="str">
        <f t="shared" si="38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1.2515320397442871E-3</v>
      </c>
      <c r="J88" s="1">
        <f>'[1]Electricity and CHPs'!F47</f>
        <v>4.9492288409908299E-3</v>
      </c>
      <c r="K88" s="1">
        <f>'[1]Electricity and CHPs'!G47</f>
        <v>7.3616178643844392E-4</v>
      </c>
    </row>
    <row r="89" spans="1:11" x14ac:dyDescent="0.25">
      <c r="A89" s="5" t="str">
        <f t="shared" si="37"/>
        <v>STEM</v>
      </c>
      <c r="B89" s="5" t="str">
        <f t="shared" si="37"/>
        <v>SPS2</v>
      </c>
      <c r="C89" s="5" t="str">
        <f t="shared" si="38"/>
        <v>CH</v>
      </c>
      <c r="D89" t="s">
        <v>44</v>
      </c>
      <c r="E89" t="str">
        <f>E88</f>
        <v>PJ/yr.</v>
      </c>
      <c r="F89" s="1">
        <f>'[1]Electricity and CHPs'!B48</f>
        <v>4.3878880824572981E-2</v>
      </c>
      <c r="G89" s="1">
        <f>'[1]Electricity and CHPs'!C48</f>
        <v>2.2475847811975259E-3</v>
      </c>
      <c r="H89" s="1">
        <f>'[1]Electricity and CHPs'!D48</f>
        <v>3.411384427973522E-3</v>
      </c>
      <c r="I89" s="1">
        <f>'[1]Electricity and CHPs'!E48</f>
        <v>1.1946072238587496E-3</v>
      </c>
      <c r="J89" s="1">
        <f>'[1]Electricity and CHPs'!F48</f>
        <v>2.7909498227955219E-3</v>
      </c>
      <c r="K89" s="1">
        <f>'[1]Electricity and CHPs'!G48</f>
        <v>3.9800888394749304E-4</v>
      </c>
    </row>
    <row r="90" spans="1:11" x14ac:dyDescent="0.25">
      <c r="A90" s="5" t="str">
        <f t="shared" si="37"/>
        <v>STEM</v>
      </c>
      <c r="B90" s="5" t="str">
        <f t="shared" si="37"/>
        <v>SPS2</v>
      </c>
      <c r="C90" s="5" t="str">
        <f t="shared" si="38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2.6454338701269994E-4</v>
      </c>
      <c r="J90" s="1">
        <f>'[1]Electricity and CHPs'!F49</f>
        <v>7.3885110830839242E-4</v>
      </c>
      <c r="K90" s="1">
        <f>'[1]Electricity and CHPs'!G49</f>
        <v>4.5276837735163083E-4</v>
      </c>
    </row>
    <row r="91" spans="1:11" x14ac:dyDescent="0.25">
      <c r="A91" s="5" t="str">
        <f t="shared" si="37"/>
        <v>STEM</v>
      </c>
      <c r="B91" s="5" t="str">
        <f t="shared" si="37"/>
        <v>SPS2</v>
      </c>
      <c r="C91" s="5" t="str">
        <f t="shared" si="38"/>
        <v>CH</v>
      </c>
      <c r="D91" t="s">
        <v>46</v>
      </c>
      <c r="E91" t="str">
        <f>E154</f>
        <v>PJ/yr.</v>
      </c>
      <c r="F91" s="1">
        <f>'[1]Electricity and CHPs'!B51</f>
        <v>5.2563444914347633E-2</v>
      </c>
      <c r="G91" s="1">
        <f>'[1]Electricity and CHPs'!C51</f>
        <v>2.0430650302666947E-3</v>
      </c>
      <c r="H91" s="1">
        <f>'[1]Electricity and CHPs'!D51</f>
        <v>4.8958634904342144E-3</v>
      </c>
      <c r="I91" s="1">
        <f>'[1]Electricity and CHPs'!E51</f>
        <v>1.2075689052548264E-3</v>
      </c>
      <c r="J91" s="1">
        <f>'[1]Electricity and CHPs'!F51</f>
        <v>0.21892777251283818</v>
      </c>
      <c r="K91" s="1">
        <f>'[1]Electricity and CHPs'!G51</f>
        <v>5.0186033086850308E-4</v>
      </c>
    </row>
    <row r="92" spans="1:11" x14ac:dyDescent="0.25">
      <c r="A92" s="5" t="str">
        <f t="shared" si="37"/>
        <v>STEM</v>
      </c>
      <c r="B92" s="5" t="str">
        <f t="shared" si="37"/>
        <v>SPS2</v>
      </c>
      <c r="C92" s="5" t="str">
        <f t="shared" si="38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6.3683613816460432E-4</v>
      </c>
      <c r="J92" s="1">
        <f>'[1]Electricity and CHPs'!F52</f>
        <v>2.6230936958897399E-3</v>
      </c>
      <c r="K92" s="1">
        <f>'[1]Electricity and CHPs'!G52</f>
        <v>6.9388717109459749E-4</v>
      </c>
    </row>
    <row r="93" spans="1:11" x14ac:dyDescent="0.25">
      <c r="A93" s="5" t="str">
        <f t="shared" si="37"/>
        <v>STEM</v>
      </c>
      <c r="B93" s="5" t="str">
        <f t="shared" si="37"/>
        <v>SPS2</v>
      </c>
      <c r="C93" s="5" t="str">
        <f t="shared" si="38"/>
        <v>CH</v>
      </c>
      <c r="D93" t="s">
        <v>84</v>
      </c>
      <c r="E93" t="str">
        <f>E155</f>
        <v>PJ/yr.</v>
      </c>
      <c r="F93" s="1">
        <f>'[1]Electricity and CHPs'!B54</f>
        <v>0.95936552428690025</v>
      </c>
      <c r="G93" s="1">
        <f>'[1]Electricity and CHPs'!C54</f>
        <v>1.1059705816062375</v>
      </c>
      <c r="H93" s="1">
        <f>'[1]Electricity and CHPs'!D54</f>
        <v>1.1059703770352236</v>
      </c>
      <c r="I93" s="1">
        <f>'[1]Electricity and CHPs'!E54</f>
        <v>1.1059705927620216</v>
      </c>
      <c r="J93" s="1">
        <f>'[1]Electricity and CHPs'!F54</f>
        <v>1.1059716849444003</v>
      </c>
      <c r="K93" s="1">
        <f>'[1]Electricity and CHPs'!G54</f>
        <v>1.1059717711517187</v>
      </c>
    </row>
    <row r="94" spans="1:11" x14ac:dyDescent="0.25">
      <c r="A94" s="5" t="str">
        <f t="shared" si="37"/>
        <v>STEM</v>
      </c>
      <c r="B94" s="5" t="str">
        <f t="shared" si="37"/>
        <v>SPS2</v>
      </c>
      <c r="C94" s="5" t="str">
        <f t="shared" si="38"/>
        <v>CH</v>
      </c>
      <c r="D94" t="s">
        <v>85</v>
      </c>
      <c r="E94" t="str">
        <f>E93</f>
        <v>PJ/yr.</v>
      </c>
      <c r="F94" s="1">
        <f>'[1]Electricity and CHPs'!B55</f>
        <v>0.5944011839259391</v>
      </c>
      <c r="G94" s="1">
        <f>'[1]Electricity and CHPs'!C55</f>
        <v>0.62591862453204883</v>
      </c>
      <c r="H94" s="1">
        <f>'[1]Electricity and CHPs'!D55</f>
        <v>3.2001399325024939E-3</v>
      </c>
      <c r="I94" s="1">
        <f>'[1]Electricity and CHPs'!E55</f>
        <v>6.9117084963423012E-4</v>
      </c>
      <c r="J94" s="1">
        <f>'[1]Electricity and CHPs'!F55</f>
        <v>1.250069801012611E-3</v>
      </c>
      <c r="K94" s="1">
        <f>'[1]Electricity and CHPs'!G55</f>
        <v>1.8597772552654318E-4</v>
      </c>
    </row>
    <row r="95" spans="1:11" x14ac:dyDescent="0.25">
      <c r="A95" s="5" t="str">
        <f t="shared" si="37"/>
        <v>STEM</v>
      </c>
      <c r="B95" s="5" t="str">
        <f t="shared" si="37"/>
        <v>SPS2</v>
      </c>
      <c r="C95" s="5" t="str">
        <f t="shared" si="38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2.4415990330298024E-4</v>
      </c>
      <c r="J95" s="1">
        <f>'[1]Electricity and CHPs'!F58</f>
        <v>2.029693818836316E-3</v>
      </c>
      <c r="K95" s="1">
        <f>'[1]Electricity and CHPs'!G58</f>
        <v>3.6975307974959859E-4</v>
      </c>
    </row>
    <row r="96" spans="1:11" x14ac:dyDescent="0.25">
      <c r="A96" s="5" t="str">
        <f t="shared" ref="A96:B111" si="53">A95</f>
        <v>STEM</v>
      </c>
      <c r="B96" s="5" t="str">
        <f t="shared" si="53"/>
        <v>SPS2</v>
      </c>
      <c r="C96" s="5" t="str">
        <f t="shared" ref="C96:C111" si="54">C95</f>
        <v>CH</v>
      </c>
      <c r="D96" t="s">
        <v>798</v>
      </c>
      <c r="E96" t="str">
        <f t="shared" ref="E96:E106" si="55">E171</f>
        <v>PJ/yr.</v>
      </c>
      <c r="F96" s="1">
        <f>F80-F112</f>
        <v>2.2670392401593156</v>
      </c>
      <c r="G96" s="1">
        <f t="shared" ref="G96:K96" si="56">G80-G112</f>
        <v>0.81713274431145555</v>
      </c>
      <c r="H96" s="1">
        <f t="shared" si="56"/>
        <v>8.2720841701736214E-2</v>
      </c>
      <c r="I96" s="1">
        <f t="shared" si="56"/>
        <v>0.34994651862129089</v>
      </c>
      <c r="J96" s="1">
        <f t="shared" si="56"/>
        <v>1.94967878233436</v>
      </c>
      <c r="K96" s="1">
        <f t="shared" si="56"/>
        <v>0.42535361958811957</v>
      </c>
    </row>
    <row r="97" spans="1:11" x14ac:dyDescent="0.25">
      <c r="A97" s="5" t="str">
        <f t="shared" si="53"/>
        <v>STEM</v>
      </c>
      <c r="B97" s="5" t="str">
        <f t="shared" si="53"/>
        <v>SPS2</v>
      </c>
      <c r="C97" s="5" t="str">
        <f t="shared" si="54"/>
        <v>CH</v>
      </c>
      <c r="D97" t="s">
        <v>552</v>
      </c>
      <c r="E97" t="str">
        <f t="shared" si="55"/>
        <v>PJ/yr.</v>
      </c>
      <c r="F97" s="1">
        <f t="shared" ref="F97:K97" si="57">F81-F113</f>
        <v>0</v>
      </c>
      <c r="G97" s="1">
        <f t="shared" si="57"/>
        <v>0</v>
      </c>
      <c r="H97" s="1">
        <f t="shared" si="57"/>
        <v>0</v>
      </c>
      <c r="I97" s="1">
        <f t="shared" si="57"/>
        <v>0</v>
      </c>
      <c r="J97" s="1">
        <f t="shared" si="57"/>
        <v>3.2958702603570887E-2</v>
      </c>
      <c r="K97" s="1">
        <f t="shared" si="57"/>
        <v>2.4609059439536932E-4</v>
      </c>
    </row>
    <row r="98" spans="1:11" x14ac:dyDescent="0.25">
      <c r="A98" s="5" t="str">
        <f t="shared" si="53"/>
        <v>STEM</v>
      </c>
      <c r="B98" s="5" t="str">
        <f t="shared" si="53"/>
        <v>SPS2</v>
      </c>
      <c r="C98" s="5" t="str">
        <f t="shared" si="54"/>
        <v>CH</v>
      </c>
      <c r="D98" t="s">
        <v>553</v>
      </c>
      <c r="E98" t="str">
        <f t="shared" si="55"/>
        <v>PJ/yr.</v>
      </c>
      <c r="F98" s="1">
        <f t="shared" ref="F98:K98" si="58">F82-F114</f>
        <v>0</v>
      </c>
      <c r="G98" s="1">
        <f t="shared" si="58"/>
        <v>6.1628568502994656E-4</v>
      </c>
      <c r="H98" s="1">
        <f t="shared" si="58"/>
        <v>1.5265862761677145E-2</v>
      </c>
      <c r="I98" s="1">
        <f t="shared" si="58"/>
        <v>1.8614391810467631E-2</v>
      </c>
      <c r="J98" s="1">
        <f t="shared" si="58"/>
        <v>0.31110369623148065</v>
      </c>
      <c r="K98" s="1">
        <f t="shared" si="58"/>
        <v>1.8366902182132376E-3</v>
      </c>
    </row>
    <row r="99" spans="1:11" x14ac:dyDescent="0.25">
      <c r="A99" s="5" t="str">
        <f t="shared" si="53"/>
        <v>STEM</v>
      </c>
      <c r="B99" s="5" t="str">
        <f t="shared" si="53"/>
        <v>SPS2</v>
      </c>
      <c r="C99" s="5" t="str">
        <f t="shared" si="54"/>
        <v>CH</v>
      </c>
      <c r="D99" t="s">
        <v>554</v>
      </c>
      <c r="E99" t="str">
        <f t="shared" si="55"/>
        <v>PJ/yr.</v>
      </c>
      <c r="F99" s="1">
        <f t="shared" ref="F99:K99" si="59">F83-F115</f>
        <v>0</v>
      </c>
      <c r="G99" s="1">
        <f t="shared" si="59"/>
        <v>0</v>
      </c>
      <c r="H99" s="1">
        <f t="shared" si="59"/>
        <v>0</v>
      </c>
      <c r="I99" s="1">
        <f t="shared" si="59"/>
        <v>0</v>
      </c>
      <c r="J99" s="1">
        <f t="shared" si="59"/>
        <v>2.3003606866864451E-3</v>
      </c>
      <c r="K99" s="1">
        <f t="shared" si="59"/>
        <v>6.1524242471694326E-4</v>
      </c>
    </row>
    <row r="100" spans="1:11" x14ac:dyDescent="0.25">
      <c r="A100" s="5" t="str">
        <f t="shared" si="53"/>
        <v>STEM</v>
      </c>
      <c r="B100" s="5" t="str">
        <f t="shared" si="53"/>
        <v>SPS2</v>
      </c>
      <c r="C100" s="5" t="str">
        <f t="shared" si="54"/>
        <v>CH</v>
      </c>
      <c r="D100" t="s">
        <v>555</v>
      </c>
      <c r="E100" t="str">
        <f t="shared" si="55"/>
        <v>PJ/yr.</v>
      </c>
      <c r="F100" s="1">
        <f t="shared" ref="F100:K100" si="60">F84-F116</f>
        <v>0.94111806784262975</v>
      </c>
      <c r="G100" s="1">
        <f t="shared" si="60"/>
        <v>5.9778118281194085E-4</v>
      </c>
      <c r="H100" s="1">
        <f t="shared" si="60"/>
        <v>5.8357168964958926E-3</v>
      </c>
      <c r="I100" s="1">
        <f t="shared" si="60"/>
        <v>1.9963749549875257E-3</v>
      </c>
      <c r="J100" s="1">
        <f t="shared" si="60"/>
        <v>1.763094004702663E-2</v>
      </c>
      <c r="K100" s="1">
        <f t="shared" si="60"/>
        <v>5.3894469048311431E-5</v>
      </c>
    </row>
    <row r="101" spans="1:11" x14ac:dyDescent="0.25">
      <c r="A101" s="5" t="str">
        <f t="shared" si="53"/>
        <v>STEM</v>
      </c>
      <c r="B101" s="5" t="str">
        <f t="shared" si="53"/>
        <v>SPS2</v>
      </c>
      <c r="C101" s="5" t="str">
        <f t="shared" si="54"/>
        <v>CH</v>
      </c>
      <c r="D101" t="s">
        <v>556</v>
      </c>
      <c r="E101" t="str">
        <f t="shared" si="55"/>
        <v>PJ/yr.</v>
      </c>
      <c r="F101" s="1">
        <f t="shared" ref="F101:K101" si="61">F85-F117</f>
        <v>0</v>
      </c>
      <c r="G101" s="1">
        <f t="shared" si="61"/>
        <v>0</v>
      </c>
      <c r="H101" s="1">
        <f t="shared" si="61"/>
        <v>0</v>
      </c>
      <c r="I101" s="1">
        <f t="shared" si="61"/>
        <v>0</v>
      </c>
      <c r="J101" s="1">
        <f t="shared" si="61"/>
        <v>2.5379055478775038E-2</v>
      </c>
      <c r="K101" s="1">
        <f t="shared" si="61"/>
        <v>8.8884420873251599E-5</v>
      </c>
    </row>
    <row r="102" spans="1:11" x14ac:dyDescent="0.25">
      <c r="A102" s="5" t="str">
        <f t="shared" si="53"/>
        <v>STEM</v>
      </c>
      <c r="B102" s="5" t="str">
        <f t="shared" si="53"/>
        <v>SPS2</v>
      </c>
      <c r="C102" s="5" t="str">
        <f t="shared" si="54"/>
        <v>CH</v>
      </c>
      <c r="D102" t="s">
        <v>557</v>
      </c>
      <c r="E102" t="str">
        <f t="shared" si="55"/>
        <v>PJ/yr.</v>
      </c>
      <c r="F102" s="1">
        <f t="shared" ref="F102:K102" si="62">F86-F118</f>
        <v>0.65278905536147203</v>
      </c>
      <c r="G102" s="1">
        <f t="shared" si="62"/>
        <v>0.20567216586761025</v>
      </c>
      <c r="H102" s="1">
        <f t="shared" si="62"/>
        <v>5.0128646200849739E-2</v>
      </c>
      <c r="I102" s="1">
        <f t="shared" si="62"/>
        <v>0.32405089420761241</v>
      </c>
      <c r="J102" s="1">
        <f t="shared" si="62"/>
        <v>1.37218287561319</v>
      </c>
      <c r="K102" s="1">
        <f t="shared" si="62"/>
        <v>0.26703418147369196</v>
      </c>
    </row>
    <row r="103" spans="1:11" x14ac:dyDescent="0.25">
      <c r="A103" s="5" t="str">
        <f t="shared" si="53"/>
        <v>STEM</v>
      </c>
      <c r="B103" s="5" t="str">
        <f t="shared" si="53"/>
        <v>SPS2</v>
      </c>
      <c r="C103" s="5" t="str">
        <f t="shared" si="54"/>
        <v>CH</v>
      </c>
      <c r="D103" t="s">
        <v>558</v>
      </c>
      <c r="E103" t="str">
        <f t="shared" si="55"/>
        <v>PJ/yr.</v>
      </c>
      <c r="F103" s="1">
        <f t="shared" ref="F103:K103" si="63">F87-F119</f>
        <v>0</v>
      </c>
      <c r="G103" s="1">
        <f t="shared" si="63"/>
        <v>0</v>
      </c>
      <c r="H103" s="1">
        <f t="shared" si="63"/>
        <v>0</v>
      </c>
      <c r="I103" s="1">
        <f t="shared" si="63"/>
        <v>0</v>
      </c>
      <c r="J103" s="1">
        <f t="shared" si="63"/>
        <v>1.2348311825995174E-3</v>
      </c>
      <c r="K103" s="1">
        <f t="shared" si="63"/>
        <v>0.15440030842246527</v>
      </c>
    </row>
    <row r="104" spans="1:11" x14ac:dyDescent="0.25">
      <c r="A104" s="5" t="str">
        <f t="shared" si="53"/>
        <v>STEM</v>
      </c>
      <c r="B104" s="5" t="str">
        <f t="shared" si="53"/>
        <v>SPS2</v>
      </c>
      <c r="C104" s="5" t="str">
        <f t="shared" si="54"/>
        <v>CH</v>
      </c>
      <c r="D104" t="s">
        <v>559</v>
      </c>
      <c r="E104" t="str">
        <f t="shared" si="55"/>
        <v>PJ/yr.</v>
      </c>
      <c r="F104" s="1">
        <f t="shared" ref="F104:K104" si="64">F88-F120</f>
        <v>0</v>
      </c>
      <c r="G104" s="1">
        <f t="shared" si="64"/>
        <v>0</v>
      </c>
      <c r="H104" s="1">
        <f t="shared" si="64"/>
        <v>0</v>
      </c>
      <c r="I104" s="1">
        <f t="shared" si="64"/>
        <v>1.2046747868345743E-3</v>
      </c>
      <c r="J104" s="1">
        <f t="shared" si="64"/>
        <v>3.9644868000822562E-3</v>
      </c>
      <c r="K104" s="1">
        <f t="shared" si="64"/>
        <v>2.3778439362086691E-4</v>
      </c>
    </row>
    <row r="105" spans="1:11" x14ac:dyDescent="0.25">
      <c r="A105" s="5" t="str">
        <f t="shared" si="53"/>
        <v>STEM</v>
      </c>
      <c r="B105" s="5" t="str">
        <f t="shared" si="53"/>
        <v>SPS2</v>
      </c>
      <c r="C105" s="5" t="str">
        <f t="shared" si="54"/>
        <v>CH</v>
      </c>
      <c r="D105" t="s">
        <v>560</v>
      </c>
      <c r="E105" t="str">
        <f t="shared" si="55"/>
        <v>PJ/yr.</v>
      </c>
      <c r="F105" s="1">
        <f t="shared" ref="F105:K105" si="65">F89-F121</f>
        <v>4.2753942862398635E-2</v>
      </c>
      <c r="G105" s="1">
        <f t="shared" si="65"/>
        <v>2.1763893805369279E-3</v>
      </c>
      <c r="H105" s="1">
        <f t="shared" si="65"/>
        <v>3.4064123380144612E-3</v>
      </c>
      <c r="I105" s="1">
        <f t="shared" si="65"/>
        <v>1.1498812312045331E-3</v>
      </c>
      <c r="J105" s="1">
        <f t="shared" si="65"/>
        <v>2.2356379322217039E-3</v>
      </c>
      <c r="K105" s="1">
        <f t="shared" si="65"/>
        <v>1.2855910598544258E-4</v>
      </c>
    </row>
    <row r="106" spans="1:11" x14ac:dyDescent="0.25">
      <c r="A106" s="5" t="str">
        <f t="shared" si="53"/>
        <v>STEM</v>
      </c>
      <c r="B106" s="5" t="str">
        <f t="shared" si="53"/>
        <v>SPS2</v>
      </c>
      <c r="C106" s="5" t="str">
        <f t="shared" si="54"/>
        <v>CH</v>
      </c>
      <c r="D106" t="s">
        <v>561</v>
      </c>
      <c r="E106" t="str">
        <f t="shared" si="55"/>
        <v>PJ/yr.</v>
      </c>
      <c r="F106" s="1">
        <f t="shared" ref="F106:K106" si="66">F90-F122</f>
        <v>0</v>
      </c>
      <c r="G106" s="1">
        <f t="shared" si="66"/>
        <v>0</v>
      </c>
      <c r="H106" s="1">
        <f t="shared" si="66"/>
        <v>0</v>
      </c>
      <c r="I106" s="1">
        <f t="shared" si="66"/>
        <v>2.5463890514791377E-4</v>
      </c>
      <c r="J106" s="1">
        <f t="shared" si="66"/>
        <v>5.9184280222701353E-4</v>
      </c>
      <c r="K106" s="1">
        <f t="shared" si="66"/>
        <v>1.4624673005661883E-4</v>
      </c>
    </row>
    <row r="107" spans="1:11" x14ac:dyDescent="0.25">
      <c r="A107" s="5" t="str">
        <f t="shared" si="53"/>
        <v>STEM</v>
      </c>
      <c r="B107" s="5" t="str">
        <f t="shared" si="53"/>
        <v>SPS2</v>
      </c>
      <c r="C107" s="5" t="str">
        <f t="shared" si="54"/>
        <v>CH</v>
      </c>
      <c r="D107" t="s">
        <v>562</v>
      </c>
      <c r="E107" t="str">
        <f>E183</f>
        <v>PJ/yr.</v>
      </c>
      <c r="F107" s="1">
        <f t="shared" ref="F107:K107" si="67">F91-F123</f>
        <v>5.1215857795086021E-2</v>
      </c>
      <c r="G107" s="1">
        <f t="shared" si="67"/>
        <v>1.9783480795993237E-3</v>
      </c>
      <c r="H107" s="1">
        <f t="shared" si="67"/>
        <v>4.888727773479506E-3</v>
      </c>
      <c r="I107" s="1">
        <f t="shared" si="67"/>
        <v>1.1623576283537639E-3</v>
      </c>
      <c r="J107" s="1">
        <f t="shared" si="67"/>
        <v>0.17536797997903814</v>
      </c>
      <c r="K107" s="1">
        <f t="shared" si="67"/>
        <v>1.6210370689746898E-4</v>
      </c>
    </row>
    <row r="108" spans="1:11" x14ac:dyDescent="0.25">
      <c r="A108" s="5" t="str">
        <f t="shared" si="53"/>
        <v>STEM</v>
      </c>
      <c r="B108" s="5" t="str">
        <f t="shared" si="53"/>
        <v>SPS2</v>
      </c>
      <c r="C108" s="5" t="str">
        <f t="shared" si="54"/>
        <v>CH</v>
      </c>
      <c r="D108" t="s">
        <v>563</v>
      </c>
      <c r="E108" t="str">
        <f>E185</f>
        <v>PJ/yr.</v>
      </c>
      <c r="F108" s="1">
        <f t="shared" ref="F108:K108" si="68">F92-F124</f>
        <v>0</v>
      </c>
      <c r="G108" s="1">
        <f t="shared" si="68"/>
        <v>0</v>
      </c>
      <c r="H108" s="1">
        <f t="shared" si="68"/>
        <v>0</v>
      </c>
      <c r="I108" s="1">
        <f t="shared" si="68"/>
        <v>6.1299304742429804E-4</v>
      </c>
      <c r="J108" s="1">
        <f t="shared" si="68"/>
        <v>2.1011799346606777E-3</v>
      </c>
      <c r="K108" s="1">
        <f t="shared" si="68"/>
        <v>2.2412945531752912E-4</v>
      </c>
    </row>
    <row r="109" spans="1:11" x14ac:dyDescent="0.25">
      <c r="A109" s="5" t="str">
        <f t="shared" si="53"/>
        <v>STEM</v>
      </c>
      <c r="B109" s="5" t="str">
        <f t="shared" si="53"/>
        <v>SPS2</v>
      </c>
      <c r="C109" s="5" t="str">
        <f t="shared" si="54"/>
        <v>CH</v>
      </c>
      <c r="D109" t="s">
        <v>564</v>
      </c>
      <c r="E109" t="str">
        <f>E187</f>
        <v>PJ/yr.</v>
      </c>
      <c r="F109" s="1">
        <f t="shared" ref="F109:K109" si="69">F93-F125</f>
        <v>0</v>
      </c>
      <c r="G109" s="1">
        <f t="shared" si="69"/>
        <v>0</v>
      </c>
      <c r="H109" s="1">
        <f t="shared" si="69"/>
        <v>0</v>
      </c>
      <c r="I109" s="1">
        <f t="shared" si="69"/>
        <v>0</v>
      </c>
      <c r="J109" s="1">
        <f t="shared" si="69"/>
        <v>0</v>
      </c>
      <c r="K109" s="1">
        <f t="shared" si="69"/>
        <v>0</v>
      </c>
    </row>
    <row r="110" spans="1:11" x14ac:dyDescent="0.25">
      <c r="A110" s="5" t="str">
        <f t="shared" si="53"/>
        <v>STEM</v>
      </c>
      <c r="B110" s="5" t="str">
        <f t="shared" si="53"/>
        <v>SPS2</v>
      </c>
      <c r="C110" s="5" t="str">
        <f t="shared" si="54"/>
        <v>CH</v>
      </c>
      <c r="D110" t="s">
        <v>565</v>
      </c>
      <c r="E110" t="str">
        <f>E188</f>
        <v>PJ/yr.</v>
      </c>
      <c r="F110" s="1">
        <f t="shared" ref="F110:K110" si="70">F94-F126</f>
        <v>0.57916231629772918</v>
      </c>
      <c r="G110" s="1">
        <f t="shared" si="70"/>
        <v>0.60609177411586723</v>
      </c>
      <c r="H110" s="1">
        <f t="shared" si="70"/>
        <v>3.195475731219428E-3</v>
      </c>
      <c r="I110" s="1">
        <f t="shared" si="70"/>
        <v>6.6529347192702465E-4</v>
      </c>
      <c r="J110" s="1">
        <f t="shared" si="70"/>
        <v>1.0013449336288493E-3</v>
      </c>
      <c r="K110" s="1">
        <f t="shared" si="70"/>
        <v>6.0071850381240741E-5</v>
      </c>
    </row>
    <row r="111" spans="1:11" x14ac:dyDescent="0.25">
      <c r="A111" s="5" t="str">
        <f t="shared" si="53"/>
        <v>STEM</v>
      </c>
      <c r="B111" s="5" t="str">
        <f t="shared" si="53"/>
        <v>SPS2</v>
      </c>
      <c r="C111" s="5" t="str">
        <f t="shared" si="54"/>
        <v>CH</v>
      </c>
      <c r="D111" t="s">
        <v>566</v>
      </c>
      <c r="E111" t="str">
        <f>E193</f>
        <v>PJ/yr.</v>
      </c>
      <c r="F111" s="1">
        <f t="shared" ref="F111:K111" si="71">F95-F127</f>
        <v>0</v>
      </c>
      <c r="G111" s="1">
        <f t="shared" si="71"/>
        <v>0</v>
      </c>
      <c r="H111" s="1">
        <f t="shared" si="71"/>
        <v>0</v>
      </c>
      <c r="I111" s="1">
        <f t="shared" si="71"/>
        <v>2.3501857733116067E-4</v>
      </c>
      <c r="J111" s="1">
        <f t="shared" si="71"/>
        <v>1.6258481091721317E-3</v>
      </c>
      <c r="K111" s="1">
        <f t="shared" si="71"/>
        <v>1.1943232245600693E-4</v>
      </c>
    </row>
    <row r="112" spans="1:11" x14ac:dyDescent="0.25">
      <c r="A112" s="5" t="str">
        <f>A95</f>
        <v>STEM</v>
      </c>
      <c r="B112" s="5" t="str">
        <f t="shared" ref="B112:B175" si="72">B111</f>
        <v>SPS2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1.0190156602100839</v>
      </c>
      <c r="G112" s="1">
        <f t="shared" ref="G112:K112" si="73">SUM(G113:G127)</f>
        <v>1.1327011352674559</v>
      </c>
      <c r="H112" s="1">
        <f t="shared" si="73"/>
        <v>1.1060911185737157</v>
      </c>
      <c r="I112" s="1">
        <f t="shared" si="73"/>
        <v>1.11958217715568</v>
      </c>
      <c r="J112" s="1">
        <f t="shared" si="73"/>
        <v>1.5902539540119238</v>
      </c>
      <c r="K112" s="1">
        <f t="shared" si="73"/>
        <v>1.9974795136398422</v>
      </c>
    </row>
    <row r="113" spans="1:11" x14ac:dyDescent="0.25">
      <c r="A113" s="5" t="str">
        <f t="shared" si="37"/>
        <v>STEM</v>
      </c>
      <c r="B113" s="5" t="str">
        <f t="shared" si="72"/>
        <v>SPS2</v>
      </c>
      <c r="C113" s="5" t="str">
        <f t="shared" si="38"/>
        <v>CH</v>
      </c>
      <c r="D113" t="s">
        <v>613</v>
      </c>
      <c r="E113" t="str">
        <f t="shared" ref="E113:E128" si="74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8.186638448856913E-3</v>
      </c>
      <c r="K113" s="1">
        <f>'[1]Electricity and CHPs_IN'!Q$23/SUM('[1]Electricity and CHPs_IN'!Q$22:Q$23)*K81</f>
        <v>5.1578653655144288E-4</v>
      </c>
    </row>
    <row r="114" spans="1:11" x14ac:dyDescent="0.25">
      <c r="A114" s="5" t="str">
        <f t="shared" si="37"/>
        <v>STEM</v>
      </c>
      <c r="B114" s="5" t="str">
        <f t="shared" si="72"/>
        <v>SPS2</v>
      </c>
      <c r="C114" s="5" t="str">
        <f t="shared" si="38"/>
        <v>CH</v>
      </c>
      <c r="D114" t="s">
        <v>614</v>
      </c>
      <c r="E114" t="str">
        <f t="shared" si="74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2.016031995904769E-5</v>
      </c>
      <c r="H114" s="1">
        <f>'[1]Electricity and CHPs_IN'!N$23/SUM('[1]Electricity and CHPs_IN'!N$22:N$23)*H82</f>
        <v>2.2282458910414208E-5</v>
      </c>
      <c r="I114" s="1">
        <f>'[1]Electricity and CHPs_IN'!O$23/SUM('[1]Electricity and CHPs_IN'!O$22:O$23)*I82</f>
        <v>7.2402882035526727E-4</v>
      </c>
      <c r="J114" s="1">
        <f>'[1]Electricity and CHPs_IN'!P$23/SUM('[1]Electricity and CHPs_IN'!P$22:P$23)*J82</f>
        <v>7.727529544425088E-2</v>
      </c>
      <c r="K114" s="1">
        <f>'[1]Electricity and CHPs_IN'!Q$23/SUM('[1]Electricity and CHPs_IN'!Q$22:Q$23)*K82</f>
        <v>3.8495582844101815E-3</v>
      </c>
    </row>
    <row r="115" spans="1:11" x14ac:dyDescent="0.25">
      <c r="A115" s="5" t="str">
        <f t="shared" si="37"/>
        <v>STEM</v>
      </c>
      <c r="B115" s="5" t="str">
        <f t="shared" si="72"/>
        <v>SPS2</v>
      </c>
      <c r="C115" s="5" t="str">
        <f t="shared" si="38"/>
        <v>CH</v>
      </c>
      <c r="D115" t="s">
        <v>615</v>
      </c>
      <c r="E115" t="str">
        <f t="shared" si="74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5.7138842722000171E-4</v>
      </c>
      <c r="K115" s="1">
        <f>'[1]Electricity and CHPs_IN'!Q$23/SUM('[1]Electricity and CHPs_IN'!Q$22:Q$23)*K83</f>
        <v>1.2894997477003751E-3</v>
      </c>
    </row>
    <row r="116" spans="1:11" x14ac:dyDescent="0.25">
      <c r="A116" s="5" t="str">
        <f t="shared" si="37"/>
        <v>STEM</v>
      </c>
      <c r="B116" s="5" t="str">
        <f t="shared" si="72"/>
        <v>SPS2</v>
      </c>
      <c r="C116" s="5" t="str">
        <f t="shared" si="38"/>
        <v>CH</v>
      </c>
      <c r="D116" t="s">
        <v>616</v>
      </c>
      <c r="E116" t="str">
        <f t="shared" si="74"/>
        <v>PJ/yr.</v>
      </c>
      <c r="F116" s="1">
        <f>'[1]Electricity and CHPs_IN'!L$23/SUM('[1]Electricity and CHPs_IN'!L$22:L$23)*F84</f>
        <v>2.4762615340805382E-2</v>
      </c>
      <c r="G116" s="1">
        <f>'[1]Electricity and CHPs_IN'!M$23/SUM('[1]Electricity and CHPs_IN'!M$22:M$23)*G84</f>
        <v>1.9554989193690426E-5</v>
      </c>
      <c r="H116" s="1">
        <f>'[1]Electricity and CHPs_IN'!N$23/SUM('[1]Electricity and CHPs_IN'!N$22:N$23)*H84</f>
        <v>8.5179674407536603E-6</v>
      </c>
      <c r="I116" s="1">
        <f>'[1]Electricity and CHPs_IN'!O$23/SUM('[1]Electricity and CHPs_IN'!O$22:O$23)*I84</f>
        <v>7.7651368809889996E-5</v>
      </c>
      <c r="J116" s="1">
        <f>'[1]Electricity and CHPs_IN'!P$23/SUM('[1]Electricity and CHPs_IN'!P$22:P$23)*J84</f>
        <v>4.3793632721101441E-3</v>
      </c>
      <c r="K116" s="1">
        <f>'[1]Electricity and CHPs_IN'!Q$23/SUM('[1]Electricity and CHPs_IN'!Q$22:Q$23)*K84</f>
        <v>1.1295856957884029E-4</v>
      </c>
    </row>
    <row r="117" spans="1:11" x14ac:dyDescent="0.25">
      <c r="A117" s="5" t="str">
        <f t="shared" si="37"/>
        <v>STEM</v>
      </c>
      <c r="B117" s="5" t="str">
        <f t="shared" si="72"/>
        <v>SPS2</v>
      </c>
      <c r="C117" s="5" t="str">
        <f t="shared" si="38"/>
        <v>CH</v>
      </c>
      <c r="D117" t="s">
        <v>617</v>
      </c>
      <c r="E117" t="str">
        <f t="shared" si="74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6.3039238491050869E-3</v>
      </c>
      <c r="K117" s="1">
        <f>'[1]Electricity and CHPs_IN'!Q$23/SUM('[1]Electricity and CHPs_IN'!Q$22:Q$23)*K85</f>
        <v>1.8629475745806032E-4</v>
      </c>
    </row>
    <row r="118" spans="1:11" x14ac:dyDescent="0.25">
      <c r="A118" s="5" t="str">
        <f t="shared" si="37"/>
        <v>STEM</v>
      </c>
      <c r="B118" s="5" t="str">
        <f t="shared" si="72"/>
        <v>SPS2</v>
      </c>
      <c r="C118" s="5" t="str">
        <f t="shared" si="38"/>
        <v>CH</v>
      </c>
      <c r="D118" t="s">
        <v>618</v>
      </c>
      <c r="E118" t="str">
        <f t="shared" si="74"/>
        <v>PJ/yr.</v>
      </c>
      <c r="F118" s="1">
        <f>'[1]Electricity and CHPs_IN'!L$23/SUM('[1]Electricity and CHPs_IN'!L$22:L$23)*F86</f>
        <v>1.7176127872732386E-2</v>
      </c>
      <c r="G118" s="1">
        <f>'[1]Electricity and CHPs_IN'!M$23/SUM('[1]Electricity and CHPs_IN'!M$22:M$23)*G86</f>
        <v>6.7280755845559948E-3</v>
      </c>
      <c r="H118" s="1">
        <f>'[1]Electricity and CHPs_IN'!N$23/SUM('[1]Electricity and CHPs_IN'!N$22:N$23)*H86</f>
        <v>7.3169103944074136E-5</v>
      </c>
      <c r="I118" s="1">
        <f>'[1]Electricity and CHPs_IN'!O$23/SUM('[1]Electricity and CHPs_IN'!O$22:O$23)*I86</f>
        <v>1.2604343405744232E-2</v>
      </c>
      <c r="J118" s="1">
        <f>'[1]Electricity and CHPs_IN'!P$23/SUM('[1]Electricity and CHPs_IN'!P$22:P$23)*J86</f>
        <v>0.3408375998131945</v>
      </c>
      <c r="K118" s="1">
        <f>'[1]Electricity and CHPs_IN'!Q$23/SUM('[1]Electricity and CHPs_IN'!Q$22:Q$23)*K86</f>
        <v>0.5596826483416254</v>
      </c>
    </row>
    <row r="119" spans="1:11" x14ac:dyDescent="0.25">
      <c r="A119" s="5" t="str">
        <f t="shared" si="37"/>
        <v>STEM</v>
      </c>
      <c r="B119" s="5" t="str">
        <f t="shared" si="72"/>
        <v>SPS2</v>
      </c>
      <c r="C119" s="5" t="str">
        <f t="shared" si="38"/>
        <v>CH</v>
      </c>
      <c r="D119" t="s">
        <v>619</v>
      </c>
      <c r="E119" t="str">
        <f t="shared" si="74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3.0672070314507457E-4</v>
      </c>
      <c r="K119" s="1">
        <f>'[1]Electricity and CHPs_IN'!Q$23/SUM('[1]Electricity and CHPs_IN'!Q$22:Q$23)*K87</f>
        <v>0.32361090646053747</v>
      </c>
    </row>
    <row r="120" spans="1:11" x14ac:dyDescent="0.25">
      <c r="A120" s="5" t="str">
        <f t="shared" si="37"/>
        <v>STEM</v>
      </c>
      <c r="B120" s="5" t="str">
        <f t="shared" si="72"/>
        <v>SPS2</v>
      </c>
      <c r="C120" s="5" t="str">
        <f t="shared" si="38"/>
        <v>CH</v>
      </c>
      <c r="D120" t="s">
        <v>620</v>
      </c>
      <c r="E120" t="str">
        <f t="shared" si="74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4.6857252909712875E-5</v>
      </c>
      <c r="J120" s="1">
        <f>'[1]Electricity and CHPs_IN'!P$23/SUM('[1]Electricity and CHPs_IN'!P$22:P$23)*J88</f>
        <v>9.8474204090857366E-4</v>
      </c>
      <c r="K120" s="1">
        <f>'[1]Electricity and CHPs_IN'!Q$23/SUM('[1]Electricity and CHPs_IN'!Q$22:Q$23)*K88</f>
        <v>4.9837739281757701E-4</v>
      </c>
    </row>
    <row r="121" spans="1:11" x14ac:dyDescent="0.25">
      <c r="A121" s="5" t="str">
        <f t="shared" si="37"/>
        <v>STEM</v>
      </c>
      <c r="B121" s="5" t="str">
        <f t="shared" si="72"/>
        <v>SPS2</v>
      </c>
      <c r="C121" s="5" t="str">
        <f t="shared" si="38"/>
        <v>CH</v>
      </c>
      <c r="D121" t="s">
        <v>621</v>
      </c>
      <c r="E121" t="str">
        <f t="shared" si="74"/>
        <v>PJ/yr.</v>
      </c>
      <c r="F121" s="1">
        <f>'[1]Electricity and CHPs_IN'!L$23/SUM('[1]Electricity and CHPs_IN'!L$22:L$23)*F89</f>
        <v>1.1249379621743496E-3</v>
      </c>
      <c r="G121" s="1">
        <f>'[1]Electricity and CHPs_IN'!M$23/SUM('[1]Electricity and CHPs_IN'!M$22:M$23)*G89</f>
        <v>7.1195400660597864E-5</v>
      </c>
      <c r="H121" s="1">
        <f>'[1]Electricity and CHPs_IN'!N$23/SUM('[1]Electricity and CHPs_IN'!N$22:N$23)*H89</f>
        <v>4.9720899590608084E-6</v>
      </c>
      <c r="I121" s="1">
        <f>'[1]Electricity and CHPs_IN'!O$23/SUM('[1]Electricity and CHPs_IN'!O$22:O$23)*I89</f>
        <v>4.4725992654216363E-5</v>
      </c>
      <c r="J121" s="1">
        <f>'[1]Electricity and CHPs_IN'!P$23/SUM('[1]Electricity and CHPs_IN'!P$22:P$23)*J89</f>
        <v>5.5531189057381799E-4</v>
      </c>
      <c r="K121" s="1">
        <f>'[1]Electricity and CHPs_IN'!Q$23/SUM('[1]Electricity and CHPs_IN'!Q$22:Q$23)*K89</f>
        <v>2.6944977796205047E-4</v>
      </c>
    </row>
    <row r="122" spans="1:11" x14ac:dyDescent="0.25">
      <c r="A122" s="5" t="str">
        <f t="shared" si="37"/>
        <v>STEM</v>
      </c>
      <c r="B122" s="5" t="str">
        <f t="shared" si="72"/>
        <v>SPS2</v>
      </c>
      <c r="C122" s="5" t="str">
        <f t="shared" si="38"/>
        <v>CH</v>
      </c>
      <c r="D122" t="s">
        <v>622</v>
      </c>
      <c r="E122" t="str">
        <f t="shared" si="74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9.9044818647861678E-6</v>
      </c>
      <c r="J122" s="1">
        <f>'[1]Electricity and CHPs_IN'!P$23/SUM('[1]Electricity and CHPs_IN'!P$22:P$23)*J90</f>
        <v>1.4700830608137887E-4</v>
      </c>
      <c r="K122" s="1">
        <f>'[1]Electricity and CHPs_IN'!Q$23/SUM('[1]Electricity and CHPs_IN'!Q$22:Q$23)*K90</f>
        <v>3.06521647295012E-4</v>
      </c>
    </row>
    <row r="123" spans="1:11" x14ac:dyDescent="0.25">
      <c r="A123" s="5" t="str">
        <f t="shared" si="37"/>
        <v>STEM</v>
      </c>
      <c r="B123" s="5" t="str">
        <f t="shared" si="72"/>
        <v>SPS2</v>
      </c>
      <c r="C123" s="5" t="str">
        <f t="shared" si="38"/>
        <v>CH</v>
      </c>
      <c r="D123" t="s">
        <v>623</v>
      </c>
      <c r="E123" t="str">
        <f t="shared" si="74"/>
        <v>PJ/yr.</v>
      </c>
      <c r="F123" s="1">
        <f>'[1]Electricity and CHPs_IN'!L$23/SUM('[1]Electricity and CHPs_IN'!L$22:L$23)*F91</f>
        <v>1.3475871192616124E-3</v>
      </c>
      <c r="G123" s="1">
        <f>'[1]Electricity and CHPs_IN'!M$23/SUM('[1]Electricity and CHPs_IN'!M$22:M$23)*G91</f>
        <v>6.471695066737087E-5</v>
      </c>
      <c r="H123" s="1">
        <f>'[1]Electricity and CHPs_IN'!N$23/SUM('[1]Electricity and CHPs_IN'!N$22:N$23)*H91</f>
        <v>7.135716954708834E-6</v>
      </c>
      <c r="I123" s="1">
        <f>'[1]Electricity and CHPs_IN'!O$23/SUM('[1]Electricity and CHPs_IN'!O$22:O$23)*I91</f>
        <v>4.5211276901062482E-5</v>
      </c>
      <c r="J123" s="1">
        <f>'[1]Electricity and CHPs_IN'!P$23/SUM('[1]Electricity and CHPs_IN'!P$22:P$23)*J91</f>
        <v>4.3559792533800039E-2</v>
      </c>
      <c r="K123" s="1">
        <f>'[1]Electricity and CHPs_IN'!Q$23/SUM('[1]Electricity and CHPs_IN'!Q$22:Q$23)*K91</f>
        <v>3.3975662397103411E-4</v>
      </c>
    </row>
    <row r="124" spans="1:11" x14ac:dyDescent="0.25">
      <c r="A124" s="5" t="str">
        <f t="shared" si="37"/>
        <v>STEM</v>
      </c>
      <c r="B124" s="5" t="str">
        <f t="shared" si="72"/>
        <v>SPS2</v>
      </c>
      <c r="C124" s="5" t="str">
        <f t="shared" si="38"/>
        <v>CH</v>
      </c>
      <c r="D124" t="s">
        <v>624</v>
      </c>
      <c r="E124" t="str">
        <f t="shared" si="74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2.3843090740306337E-5</v>
      </c>
      <c r="J124" s="1">
        <f>'[1]Electricity and CHPs_IN'!P$23/SUM('[1]Electricity and CHPs_IN'!P$22:P$23)*J92</f>
        <v>5.2191376122906203E-4</v>
      </c>
      <c r="K124" s="1">
        <f>'[1]Electricity and CHPs_IN'!Q$23/SUM('[1]Electricity and CHPs_IN'!Q$22:Q$23)*K92</f>
        <v>4.6975771577706838E-4</v>
      </c>
    </row>
    <row r="125" spans="1:11" x14ac:dyDescent="0.25">
      <c r="A125" s="5" t="str">
        <f t="shared" si="37"/>
        <v>STEM</v>
      </c>
      <c r="B125" s="5" t="str">
        <f t="shared" si="72"/>
        <v>SPS2</v>
      </c>
      <c r="C125" s="5" t="str">
        <f t="shared" si="38"/>
        <v>CH</v>
      </c>
      <c r="D125" t="s">
        <v>625</v>
      </c>
      <c r="E125" t="str">
        <f t="shared" si="74"/>
        <v>PJ/yr.</v>
      </c>
      <c r="F125" s="1">
        <f t="shared" ref="F125:K125" si="75">F93</f>
        <v>0.95936552428690025</v>
      </c>
      <c r="G125" s="1">
        <f t="shared" si="75"/>
        <v>1.1059705816062375</v>
      </c>
      <c r="H125" s="1">
        <f t="shared" si="75"/>
        <v>1.1059703770352236</v>
      </c>
      <c r="I125" s="1">
        <f t="shared" si="75"/>
        <v>1.1059705927620216</v>
      </c>
      <c r="J125" s="1">
        <f t="shared" si="75"/>
        <v>1.1059716849444003</v>
      </c>
      <c r="K125" s="1">
        <f t="shared" si="75"/>
        <v>1.1059717711517187</v>
      </c>
    </row>
    <row r="126" spans="1:11" x14ac:dyDescent="0.25">
      <c r="A126" s="5" t="str">
        <f t="shared" si="37"/>
        <v>STEM</v>
      </c>
      <c r="B126" s="5" t="str">
        <f t="shared" si="72"/>
        <v>SPS2</v>
      </c>
      <c r="C126" s="5" t="str">
        <f t="shared" si="38"/>
        <v>CH</v>
      </c>
      <c r="D126" t="s">
        <v>626</v>
      </c>
      <c r="E126" t="str">
        <f t="shared" si="74"/>
        <v>PJ/yr.</v>
      </c>
      <c r="F126" s="1">
        <f>'[1]Electricity and CHPs_IN'!L$23/SUM('[1]Electricity and CHPs_IN'!L$22:L$23)*F94</f>
        <v>1.5238867628209932E-2</v>
      </c>
      <c r="G126" s="1">
        <f>'[1]Electricity and CHPs_IN'!M$23/SUM('[1]Electricity and CHPs_IN'!M$22:M$23)*G94</f>
        <v>1.9826850416181572E-2</v>
      </c>
      <c r="H126" s="1">
        <f>'[1]Electricity and CHPs_IN'!N$23/SUM('[1]Electricity and CHPs_IN'!N$22:N$23)*H94</f>
        <v>4.6642012830659143E-6</v>
      </c>
      <c r="I126" s="1">
        <f>'[1]Electricity and CHPs_IN'!O$23/SUM('[1]Electricity and CHPs_IN'!O$22:O$23)*I94</f>
        <v>2.5877377707205502E-5</v>
      </c>
      <c r="J126" s="1">
        <f>'[1]Electricity and CHPs_IN'!P$23/SUM('[1]Electricity and CHPs_IN'!P$22:P$23)*J94</f>
        <v>2.4872486738376174E-4</v>
      </c>
      <c r="K126" s="1">
        <f>'[1]Electricity and CHPs_IN'!Q$23/SUM('[1]Electricity and CHPs_IN'!Q$22:Q$23)*K94</f>
        <v>1.2590587514530244E-4</v>
      </c>
    </row>
    <row r="127" spans="1:11" x14ac:dyDescent="0.25">
      <c r="A127" s="5" t="str">
        <f t="shared" si="37"/>
        <v>STEM</v>
      </c>
      <c r="B127" s="5" t="str">
        <f t="shared" si="72"/>
        <v>SPS2</v>
      </c>
      <c r="C127" s="5" t="str">
        <f t="shared" si="38"/>
        <v>CH</v>
      </c>
      <c r="D127" t="s">
        <v>627</v>
      </c>
      <c r="E127" t="str">
        <f t="shared" si="74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9.1413259718195776E-6</v>
      </c>
      <c r="J127" s="1">
        <f>'[1]Electricity and CHPs_IN'!P$23/SUM('[1]Electricity and CHPs_IN'!P$22:P$23)*J95</f>
        <v>4.0384570966418436E-4</v>
      </c>
      <c r="K127" s="1">
        <f>'[1]Electricity and CHPs_IN'!Q$23/SUM('[1]Electricity and CHPs_IN'!Q$22:Q$23)*K95</f>
        <v>2.5032075729359166E-4</v>
      </c>
    </row>
    <row r="128" spans="1:11" x14ac:dyDescent="0.25">
      <c r="A128" s="5" t="str">
        <f t="shared" si="37"/>
        <v>STEM</v>
      </c>
      <c r="B128" s="5" t="str">
        <f t="shared" si="72"/>
        <v>SPS2</v>
      </c>
      <c r="C128" s="5" t="str">
        <f t="shared" si="38"/>
        <v>CH</v>
      </c>
      <c r="D128" t="s">
        <v>800</v>
      </c>
      <c r="E128" t="str">
        <f t="shared" si="74"/>
        <v>PJ/yr.</v>
      </c>
      <c r="F128" s="1">
        <f>SUM(F129:F134)</f>
        <v>8.2845903769253812</v>
      </c>
      <c r="G128" s="1">
        <f t="shared" ref="G128:K128" si="76">SUM(G129:G134)</f>
        <v>9.0273499053539403</v>
      </c>
      <c r="H128" s="1">
        <f t="shared" si="76"/>
        <v>9.3672834995645662</v>
      </c>
      <c r="I128" s="1">
        <f t="shared" si="76"/>
        <v>9.6803914524712749</v>
      </c>
      <c r="J128" s="1">
        <f t="shared" si="76"/>
        <v>10.171541157983551</v>
      </c>
      <c r="K128" s="1">
        <f t="shared" si="76"/>
        <v>12.20983662668273</v>
      </c>
    </row>
    <row r="129" spans="1:17" x14ac:dyDescent="0.25">
      <c r="A129" s="5" t="str">
        <f t="shared" si="37"/>
        <v>STEM</v>
      </c>
      <c r="B129" s="5" t="str">
        <f t="shared" si="72"/>
        <v>SPS2</v>
      </c>
      <c r="C129" s="5" t="str">
        <f t="shared" si="38"/>
        <v>CH</v>
      </c>
      <c r="D129" t="s">
        <v>53</v>
      </c>
      <c r="E129" t="str">
        <f>E73</f>
        <v>PJ/yr.</v>
      </c>
      <c r="F129" s="1">
        <f>'[1]Electricity and CHPs'!B19</f>
        <v>6.5070004600527787</v>
      </c>
      <c r="G129" s="1">
        <f>'[1]Electricity and CHPs'!C19</f>
        <v>7.3630616836150198</v>
      </c>
      <c r="H129" s="1">
        <f>'[1]Electricity and CHPs'!D19</f>
        <v>7.5764041552780714</v>
      </c>
      <c r="I129" s="1">
        <f>'[1]Electricity and CHPs'!E19</f>
        <v>7.8213121810598656</v>
      </c>
      <c r="J129" s="1">
        <f>'[1]Electricity and CHPs'!F19</f>
        <v>6.8921073888042939</v>
      </c>
      <c r="K129" s="1">
        <f>'[1]Electricity and CHPs'!G19</f>
        <v>5.1263703690719282</v>
      </c>
    </row>
    <row r="130" spans="1:17" x14ac:dyDescent="0.25">
      <c r="A130" s="5" t="str">
        <f t="shared" si="37"/>
        <v>STEM</v>
      </c>
      <c r="B130" s="5" t="str">
        <f t="shared" si="72"/>
        <v>SPS2</v>
      </c>
      <c r="C130" s="5" t="str">
        <f t="shared" si="38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1.4134693901677249</v>
      </c>
      <c r="K130" s="1">
        <f>'[1]Electricity and CHPs'!G20</f>
        <v>4.8957824898361375</v>
      </c>
    </row>
    <row r="131" spans="1:17" x14ac:dyDescent="0.25">
      <c r="A131" s="5" t="str">
        <f t="shared" si="37"/>
        <v>STEM</v>
      </c>
      <c r="B131" s="5" t="str">
        <f t="shared" si="72"/>
        <v>SPS2</v>
      </c>
      <c r="C131" s="5" t="str">
        <f t="shared" si="38"/>
        <v>CH</v>
      </c>
      <c r="D131" t="s">
        <v>51</v>
      </c>
      <c r="E131" t="str">
        <f>E150</f>
        <v>PJ/yr.</v>
      </c>
      <c r="F131" s="1">
        <f>'[1]Electricity and CHPs'!B26</f>
        <v>1.5475483621589388</v>
      </c>
      <c r="G131" s="1">
        <f>'[1]Electricity and CHPs'!C26</f>
        <v>1.4244090552060902</v>
      </c>
      <c r="H131" s="1">
        <f>'[1]Electricity and CHPs'!D26</f>
        <v>1.454173099712629</v>
      </c>
      <c r="I131" s="1">
        <f>'[1]Electricity and CHPs'!E26</f>
        <v>1.502397045234618</v>
      </c>
      <c r="J131" s="1">
        <f>'[1]Electricity and CHPs'!F26</f>
        <v>1.3210173215078629</v>
      </c>
      <c r="K131" s="1">
        <f>'[1]Electricity and CHPs'!G26</f>
        <v>0.75037256876975877</v>
      </c>
    </row>
    <row r="132" spans="1:17" x14ac:dyDescent="0.25">
      <c r="A132" s="5" t="str">
        <f t="shared" si="37"/>
        <v>STEM</v>
      </c>
      <c r="B132" s="5" t="str">
        <f t="shared" si="72"/>
        <v>SPS2</v>
      </c>
      <c r="C132" s="5" t="str">
        <f t="shared" si="38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0.23643642442706647</v>
      </c>
      <c r="K132" s="1">
        <f>'[1]Electricity and CHPs'!G27</f>
        <v>0.7840888887736801</v>
      </c>
    </row>
    <row r="133" spans="1:17" x14ac:dyDescent="0.25">
      <c r="A133" s="5" t="str">
        <f t="shared" si="37"/>
        <v>STEM</v>
      </c>
      <c r="B133" s="5" t="str">
        <f t="shared" si="72"/>
        <v>SPS2</v>
      </c>
      <c r="C133" s="5" t="str">
        <f t="shared" si="38"/>
        <v>CH</v>
      </c>
      <c r="D133" t="s">
        <v>48</v>
      </c>
      <c r="E133" t="str">
        <f>E153</f>
        <v>PJ/yr.</v>
      </c>
      <c r="F133" s="1">
        <f>'[1]Electricity and CHPs'!B44</f>
        <v>0.23004155471366408</v>
      </c>
      <c r="G133" s="1">
        <f>'[1]Electricity and CHPs'!C44</f>
        <v>0.23987916653283056</v>
      </c>
      <c r="H133" s="1">
        <f>'[1]Electricity and CHPs'!D44</f>
        <v>0.33670624457386633</v>
      </c>
      <c r="I133" s="1">
        <f>'[1]Electricity and CHPs'!E44</f>
        <v>0.35668222617679135</v>
      </c>
      <c r="J133" s="1">
        <f>'[1]Electricity and CHPs'!F44</f>
        <v>0.13513769937869011</v>
      </c>
      <c r="K133" s="1">
        <f>'[1]Electricity and CHPs'!G44</f>
        <v>4.5043787111660378E-5</v>
      </c>
    </row>
    <row r="134" spans="1:17" x14ac:dyDescent="0.25">
      <c r="A134" s="5" t="str">
        <f t="shared" si="37"/>
        <v>STEM</v>
      </c>
      <c r="B134" s="5" t="str">
        <f t="shared" si="72"/>
        <v>SPS2</v>
      </c>
      <c r="C134" s="5" t="str">
        <f t="shared" si="38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0.17337293369791187</v>
      </c>
      <c r="K134" s="1">
        <f>'[1]Electricity and CHPs'!G45</f>
        <v>0.65317726644411345</v>
      </c>
    </row>
    <row r="135" spans="1:17" x14ac:dyDescent="0.25">
      <c r="A135" s="5" t="str">
        <f t="shared" si="37"/>
        <v>STEM</v>
      </c>
      <c r="B135" s="5" t="str">
        <f t="shared" si="72"/>
        <v>SPS2</v>
      </c>
      <c r="C135" s="5" t="str">
        <f t="shared" si="38"/>
        <v>CH</v>
      </c>
      <c r="D135" t="s">
        <v>89</v>
      </c>
      <c r="E135" t="str">
        <f t="shared" ref="E135:E149" si="77">E134</f>
        <v>PJ/yr.</v>
      </c>
      <c r="F135" s="1">
        <f>SUM(F136:F139)</f>
        <v>4.0272744111058589</v>
      </c>
      <c r="G135" s="1">
        <f t="shared" ref="G135:K135" si="78">SUM(G136:G139)</f>
        <v>4.393735369410555</v>
      </c>
      <c r="H135" s="1">
        <f t="shared" si="78"/>
        <v>4.5152886274953499</v>
      </c>
      <c r="I135" s="1">
        <f t="shared" si="78"/>
        <v>4.6618546131472414</v>
      </c>
      <c r="J135" s="1">
        <f t="shared" si="78"/>
        <v>4.9315152624534742</v>
      </c>
      <c r="K135" s="1">
        <f t="shared" si="78"/>
        <v>5.7783071582257524</v>
      </c>
      <c r="M135" s="1"/>
      <c r="N135" s="1"/>
      <c r="O135" s="1"/>
      <c r="P135" s="1"/>
      <c r="Q135" s="1"/>
    </row>
    <row r="136" spans="1:17" x14ac:dyDescent="0.25">
      <c r="A136" s="5" t="str">
        <f t="shared" si="37"/>
        <v>STEM</v>
      </c>
      <c r="B136" s="5" t="str">
        <f t="shared" si="72"/>
        <v>SPS2</v>
      </c>
      <c r="C136" s="5" t="str">
        <f t="shared" si="38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3.2535002300263893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3.6815308418075099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3.7882020776390357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3.9106560905299328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3.4460536944021469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2.5631851845359637</v>
      </c>
    </row>
    <row r="137" spans="1:17" x14ac:dyDescent="0.25">
      <c r="A137" s="5" t="str">
        <f t="shared" si="37"/>
        <v>STEM</v>
      </c>
      <c r="B137" s="5" t="str">
        <f t="shared" si="72"/>
        <v>SPS2</v>
      </c>
      <c r="C137" s="5" t="str">
        <f t="shared" si="38"/>
        <v>CH</v>
      </c>
      <c r="D137" t="s">
        <v>61</v>
      </c>
      <c r="E137" t="str">
        <f t="shared" si="77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0.70673469508386244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2.4478912449180688</v>
      </c>
    </row>
    <row r="138" spans="1:17" x14ac:dyDescent="0.25">
      <c r="A138" s="5" t="str">
        <f t="shared" si="37"/>
        <v>STEM</v>
      </c>
      <c r="B138" s="5" t="str">
        <f t="shared" si="72"/>
        <v>SPS2</v>
      </c>
      <c r="C138" s="5" t="str">
        <f t="shared" si="38"/>
        <v>CH</v>
      </c>
      <c r="D138" t="s">
        <v>62</v>
      </c>
      <c r="E138" t="str">
        <f t="shared" si="77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0.77377418107946938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0.71220452760304509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0.72708654985631449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0.75119852261730902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0.66050866075393144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0.37518628438487939</v>
      </c>
    </row>
    <row r="139" spans="1:17" x14ac:dyDescent="0.25">
      <c r="A139" s="5" t="str">
        <f t="shared" si="37"/>
        <v>STEM</v>
      </c>
      <c r="B139" s="5" t="str">
        <f t="shared" si="72"/>
        <v>SPS2</v>
      </c>
      <c r="C139" s="5" t="str">
        <f t="shared" si="38"/>
        <v>CH</v>
      </c>
      <c r="D139" t="s">
        <v>63</v>
      </c>
      <c r="E139" t="str">
        <f t="shared" si="77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0.11821821221353324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0.39204444438684005</v>
      </c>
    </row>
    <row r="140" spans="1:17" x14ac:dyDescent="0.25">
      <c r="A140" s="5" t="str">
        <f t="shared" si="37"/>
        <v>STEM</v>
      </c>
      <c r="B140" s="5" t="str">
        <f t="shared" si="72"/>
        <v>SPS2</v>
      </c>
      <c r="C140" s="5" t="str">
        <f t="shared" si="38"/>
        <v>CH</v>
      </c>
      <c r="D140" t="s">
        <v>64</v>
      </c>
      <c r="E140" t="str">
        <f t="shared" si="77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37"/>
        <v>STEM</v>
      </c>
      <c r="B141" s="5" t="str">
        <f t="shared" si="72"/>
        <v>SPS2</v>
      </c>
      <c r="C141" s="5" t="str">
        <f t="shared" si="38"/>
        <v>CH</v>
      </c>
      <c r="D141" t="s">
        <v>65</v>
      </c>
      <c r="E141" t="str">
        <f t="shared" si="77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37"/>
        <v>STEM</v>
      </c>
      <c r="B142" s="5" t="str">
        <f t="shared" si="72"/>
        <v>SPS2</v>
      </c>
      <c r="C142" s="5" t="str">
        <f t="shared" si="38"/>
        <v>CH</v>
      </c>
      <c r="D142" t="s">
        <v>801</v>
      </c>
      <c r="E142" t="str">
        <f>E141</f>
        <v>PJ/yr.</v>
      </c>
      <c r="F142" s="1">
        <f>SUM(F143:F148)</f>
        <v>4.2573159658195232</v>
      </c>
      <c r="G142" s="1">
        <f t="shared" ref="G142:K142" si="79">SUM(G143:G148)</f>
        <v>4.6336145359433853</v>
      </c>
      <c r="H142" s="1">
        <f t="shared" si="79"/>
        <v>4.8519948720692163</v>
      </c>
      <c r="I142" s="1">
        <f t="shared" si="79"/>
        <v>5.0185368393240326</v>
      </c>
      <c r="J142" s="1">
        <f t="shared" si="79"/>
        <v>5.240025895530076</v>
      </c>
      <c r="K142" s="1">
        <f t="shared" si="79"/>
        <v>6.4315294684569775</v>
      </c>
    </row>
    <row r="143" spans="1:17" x14ac:dyDescent="0.25">
      <c r="A143" s="5" t="str">
        <f t="shared" si="37"/>
        <v>STEM</v>
      </c>
      <c r="B143" s="5" t="str">
        <f t="shared" si="72"/>
        <v>SPS2</v>
      </c>
      <c r="C143" s="5" t="str">
        <f t="shared" si="38"/>
        <v>CH</v>
      </c>
      <c r="D143" t="s">
        <v>56</v>
      </c>
      <c r="E143" t="str">
        <f>E142</f>
        <v>PJ/yr.</v>
      </c>
      <c r="F143" s="1">
        <f>F129-F136</f>
        <v>3.2535002300263893</v>
      </c>
      <c r="G143" s="1">
        <f t="shared" ref="G143:K143" si="80">G129-G136</f>
        <v>3.6815308418075099</v>
      </c>
      <c r="H143" s="1">
        <f t="shared" si="80"/>
        <v>3.7882020776390357</v>
      </c>
      <c r="I143" s="1">
        <f t="shared" si="80"/>
        <v>3.9106560905299328</v>
      </c>
      <c r="J143" s="1">
        <f t="shared" si="80"/>
        <v>3.4460536944021469</v>
      </c>
      <c r="K143" s="1">
        <f t="shared" si="80"/>
        <v>2.5631851845359646</v>
      </c>
    </row>
    <row r="144" spans="1:17" x14ac:dyDescent="0.25">
      <c r="A144" s="5" t="str">
        <f t="shared" si="37"/>
        <v>STEM</v>
      </c>
      <c r="B144" s="5" t="str">
        <f t="shared" si="72"/>
        <v>SPS2</v>
      </c>
      <c r="C144" s="5" t="str">
        <f t="shared" si="38"/>
        <v>CH</v>
      </c>
      <c r="D144" t="s">
        <v>57</v>
      </c>
      <c r="E144" t="str">
        <f t="shared" si="77"/>
        <v>PJ/yr.</v>
      </c>
      <c r="F144" s="1">
        <f t="shared" ref="F144:K144" si="81">F130-F137</f>
        <v>0</v>
      </c>
      <c r="G144" s="1">
        <f t="shared" si="81"/>
        <v>0</v>
      </c>
      <c r="H144" s="1">
        <f t="shared" si="81"/>
        <v>0</v>
      </c>
      <c r="I144" s="1">
        <f t="shared" si="81"/>
        <v>0</v>
      </c>
      <c r="J144" s="1">
        <f t="shared" si="81"/>
        <v>0.70673469508386244</v>
      </c>
      <c r="K144" s="1">
        <f t="shared" si="81"/>
        <v>2.4478912449180688</v>
      </c>
    </row>
    <row r="145" spans="1:11" x14ac:dyDescent="0.25">
      <c r="A145" s="5" t="str">
        <f t="shared" si="37"/>
        <v>STEM</v>
      </c>
      <c r="B145" s="5" t="str">
        <f t="shared" si="72"/>
        <v>SPS2</v>
      </c>
      <c r="C145" s="5" t="str">
        <f t="shared" si="38"/>
        <v>CH</v>
      </c>
      <c r="D145" t="s">
        <v>58</v>
      </c>
      <c r="E145" t="str">
        <f t="shared" si="77"/>
        <v>PJ/yr.</v>
      </c>
      <c r="F145" s="1">
        <f t="shared" ref="F145:K145" si="82">F131-F138</f>
        <v>0.77377418107946938</v>
      </c>
      <c r="G145" s="1">
        <f t="shared" si="82"/>
        <v>0.71220452760304509</v>
      </c>
      <c r="H145" s="1">
        <f t="shared" si="82"/>
        <v>0.72708654985631449</v>
      </c>
      <c r="I145" s="1">
        <f t="shared" si="82"/>
        <v>0.75119852261730902</v>
      </c>
      <c r="J145" s="1">
        <f t="shared" si="82"/>
        <v>0.66050866075393144</v>
      </c>
      <c r="K145" s="1">
        <f t="shared" si="82"/>
        <v>0.37518628438487939</v>
      </c>
    </row>
    <row r="146" spans="1:11" x14ac:dyDescent="0.25">
      <c r="A146" s="5" t="str">
        <f t="shared" si="37"/>
        <v>STEM</v>
      </c>
      <c r="B146" s="5" t="str">
        <f t="shared" si="72"/>
        <v>SPS2</v>
      </c>
      <c r="C146" s="5" t="str">
        <f t="shared" si="38"/>
        <v>CH</v>
      </c>
      <c r="D146" t="s">
        <v>59</v>
      </c>
      <c r="E146" t="str">
        <f t="shared" si="77"/>
        <v>PJ/yr.</v>
      </c>
      <c r="F146" s="1">
        <f t="shared" ref="F146:K146" si="83">F132-F139</f>
        <v>0</v>
      </c>
      <c r="G146" s="1">
        <f t="shared" si="83"/>
        <v>0</v>
      </c>
      <c r="H146" s="1">
        <f t="shared" si="83"/>
        <v>0</v>
      </c>
      <c r="I146" s="1">
        <f t="shared" si="83"/>
        <v>0</v>
      </c>
      <c r="J146" s="1">
        <f t="shared" si="83"/>
        <v>0.11821821221353324</v>
      </c>
      <c r="K146" s="1">
        <f t="shared" si="83"/>
        <v>0.39204444438684005</v>
      </c>
    </row>
    <row r="147" spans="1:11" x14ac:dyDescent="0.25">
      <c r="A147" s="5" t="str">
        <f t="shared" si="37"/>
        <v>STEM</v>
      </c>
      <c r="B147" s="5" t="str">
        <f t="shared" si="72"/>
        <v>SPS2</v>
      </c>
      <c r="C147" s="5" t="str">
        <f t="shared" si="38"/>
        <v>CH</v>
      </c>
      <c r="D147" t="s">
        <v>54</v>
      </c>
      <c r="E147" t="str">
        <f t="shared" si="77"/>
        <v>PJ/yr.</v>
      </c>
      <c r="F147" s="1">
        <f t="shared" ref="F147:K147" si="84">F133-F140</f>
        <v>0.23004155471366408</v>
      </c>
      <c r="G147" s="1">
        <f t="shared" si="84"/>
        <v>0.23987916653283056</v>
      </c>
      <c r="H147" s="1">
        <f t="shared" si="84"/>
        <v>0.33670624457386633</v>
      </c>
      <c r="I147" s="1">
        <f t="shared" si="84"/>
        <v>0.35668222617679135</v>
      </c>
      <c r="J147" s="1">
        <f t="shared" si="84"/>
        <v>0.13513769937869011</v>
      </c>
      <c r="K147" s="1">
        <f t="shared" si="84"/>
        <v>4.5043787111660378E-5</v>
      </c>
    </row>
    <row r="148" spans="1:11" x14ac:dyDescent="0.25">
      <c r="A148" s="5" t="str">
        <f t="shared" ref="A148:B179" si="85">A147</f>
        <v>STEM</v>
      </c>
      <c r="B148" s="5" t="str">
        <f t="shared" si="72"/>
        <v>SPS2</v>
      </c>
      <c r="C148" s="5" t="str">
        <f t="shared" ref="C148:C179" si="86">C147</f>
        <v>CH</v>
      </c>
      <c r="D148" t="s">
        <v>55</v>
      </c>
      <c r="E148" t="str">
        <f t="shared" si="77"/>
        <v>PJ/yr.</v>
      </c>
      <c r="F148" s="1">
        <f t="shared" ref="F148:K148" si="87">F134-F141</f>
        <v>0</v>
      </c>
      <c r="G148" s="1">
        <f t="shared" si="87"/>
        <v>0</v>
      </c>
      <c r="H148" s="1">
        <f t="shared" si="87"/>
        <v>0</v>
      </c>
      <c r="I148" s="1">
        <f t="shared" si="87"/>
        <v>0</v>
      </c>
      <c r="J148" s="1">
        <f t="shared" si="87"/>
        <v>0.17337293369791187</v>
      </c>
      <c r="K148" s="1">
        <f t="shared" si="87"/>
        <v>0.65317726644411345</v>
      </c>
    </row>
    <row r="149" spans="1:11" x14ac:dyDescent="0.25">
      <c r="A149" s="5" t="str">
        <f t="shared" si="85"/>
        <v>STEM</v>
      </c>
      <c r="B149" s="5" t="str">
        <f t="shared" si="72"/>
        <v>SPS2</v>
      </c>
      <c r="C149" s="5" t="str">
        <f t="shared" si="86"/>
        <v>CH</v>
      </c>
      <c r="D149" t="s">
        <v>802</v>
      </c>
      <c r="E149" t="str">
        <f t="shared" si="77"/>
        <v>PJ/yr.</v>
      </c>
      <c r="F149" s="1">
        <f>SUM(F150:F156)</f>
        <v>0.17248893865402296</v>
      </c>
      <c r="G149" s="1">
        <f t="shared" ref="G149:K149" si="88">SUM(G150:G156)</f>
        <v>0.39756559364136762</v>
      </c>
      <c r="H149" s="1">
        <f t="shared" si="88"/>
        <v>1.1337433109139952</v>
      </c>
      <c r="I149" s="1">
        <f t="shared" si="88"/>
        <v>1.2659821155395641</v>
      </c>
      <c r="J149" s="1">
        <f t="shared" si="88"/>
        <v>2.2661551153642168</v>
      </c>
      <c r="K149" s="1">
        <f t="shared" si="88"/>
        <v>6.3229504154459315</v>
      </c>
    </row>
    <row r="150" spans="1:11" x14ac:dyDescent="0.25">
      <c r="A150" s="5" t="str">
        <f t="shared" si="85"/>
        <v>STEM</v>
      </c>
      <c r="B150" s="5" t="str">
        <f t="shared" si="72"/>
        <v>SPS2</v>
      </c>
      <c r="C150" s="5" t="str">
        <f t="shared" si="86"/>
        <v>CH</v>
      </c>
      <c r="D150" t="s">
        <v>66</v>
      </c>
      <c r="E150" t="str">
        <f>E84</f>
        <v>PJ/yr.</v>
      </c>
      <c r="F150" s="1">
        <f>'[1]Electricity and CHPs'!B25</f>
        <v>3.4944726491322913E-5</v>
      </c>
      <c r="G150" s="1">
        <f>'[1]Electricity and CHPs'!C25</f>
        <v>3.4138315855546602E-4</v>
      </c>
      <c r="H150" s="1">
        <f>'[1]Electricity and CHPs'!D25</f>
        <v>6.5148952485753959E-4</v>
      </c>
      <c r="I150" s="1">
        <f>'[1]Electricity and CHPs'!E25</f>
        <v>1.5951963872282572E-3</v>
      </c>
      <c r="J150" s="1">
        <f>'[1]Electricity and CHPs'!F25</f>
        <v>0.27391289144974562</v>
      </c>
      <c r="K150" s="1">
        <f>'[1]Electricity and CHPs'!G25</f>
        <v>0.87144818167490834</v>
      </c>
    </row>
    <row r="151" spans="1:11" x14ac:dyDescent="0.25">
      <c r="A151" s="5" t="str">
        <f t="shared" si="85"/>
        <v>STEM</v>
      </c>
      <c r="B151" s="5" t="str">
        <f t="shared" si="72"/>
        <v>SPS2</v>
      </c>
      <c r="C151" s="5" t="str">
        <f t="shared" si="86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4.9268084950890875E-4</v>
      </c>
      <c r="K151" s="1">
        <f>'[1]Electricity and CHPs'!G31</f>
        <v>0.43581905171358681</v>
      </c>
    </row>
    <row r="152" spans="1:11" x14ac:dyDescent="0.25">
      <c r="A152" s="5" t="str">
        <f t="shared" si="85"/>
        <v>STEM</v>
      </c>
      <c r="B152" s="5" t="str">
        <f t="shared" si="72"/>
        <v>SPS2</v>
      </c>
      <c r="C152" s="5" t="str">
        <f t="shared" si="86"/>
        <v>CH</v>
      </c>
      <c r="D152" t="s">
        <v>68</v>
      </c>
      <c r="E152" t="str">
        <f>E75</f>
        <v>PJ/yr.</v>
      </c>
      <c r="F152" s="1">
        <f>'[1]Electricity and CHPs'!B42</f>
        <v>0.17245399392753163</v>
      </c>
      <c r="G152" s="1">
        <f>'[1]Electricity and CHPs'!C42</f>
        <v>0.39722421048281215</v>
      </c>
      <c r="H152" s="1">
        <f>'[1]Electricity and CHPs'!D42</f>
        <v>1.1330918213891377</v>
      </c>
      <c r="I152" s="1">
        <f>'[1]Electricity and CHPs'!E42</f>
        <v>1.2603560793519302</v>
      </c>
      <c r="J152" s="1">
        <f>'[1]Electricity and CHPs'!F42</f>
        <v>0.9838464792050271</v>
      </c>
      <c r="K152" s="1">
        <f>'[1]Electricity and CHPs'!G42</f>
        <v>6.3738460671444968E-4</v>
      </c>
    </row>
    <row r="153" spans="1:11" x14ac:dyDescent="0.25">
      <c r="A153" s="5" t="str">
        <f t="shared" si="85"/>
        <v>STEM</v>
      </c>
      <c r="B153" s="5" t="str">
        <f t="shared" si="72"/>
        <v>SPS2</v>
      </c>
      <c r="C153" s="5" t="str">
        <f t="shared" si="86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1.0001489338868073</v>
      </c>
      <c r="K153" s="1">
        <f>'[1]Electricity and CHPs'!G43</f>
        <v>5.0128790106515124</v>
      </c>
    </row>
    <row r="154" spans="1:11" x14ac:dyDescent="0.25">
      <c r="A154" s="5" t="str">
        <f t="shared" si="85"/>
        <v>STEM</v>
      </c>
      <c r="B154" s="5" t="str">
        <f t="shared" si="72"/>
        <v>SPS2</v>
      </c>
      <c r="C154" s="5" t="str">
        <f t="shared" si="86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1.0949553185067376E-3</v>
      </c>
      <c r="J154" s="1">
        <f>'[1]Electricity and CHPs'!F50</f>
        <v>1.9401086010896033E-3</v>
      </c>
      <c r="K154" s="1">
        <f>'[1]Electricity and CHPs'!G50</f>
        <v>7.5006574002592352E-4</v>
      </c>
    </row>
    <row r="155" spans="1:11" x14ac:dyDescent="0.25">
      <c r="A155" s="5" t="str">
        <f t="shared" si="85"/>
        <v>STEM</v>
      </c>
      <c r="B155" s="5" t="str">
        <f t="shared" si="72"/>
        <v>SPS2</v>
      </c>
      <c r="C155" s="5" t="str">
        <f t="shared" si="86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2.1250578443406309E-3</v>
      </c>
      <c r="J155" s="1">
        <f>'[1]Electricity and CHPs'!F53</f>
        <v>4.6743822748889462E-3</v>
      </c>
      <c r="K155" s="1">
        <f>'[1]Electricity and CHPs'!G53</f>
        <v>1.1259591924384755E-3</v>
      </c>
    </row>
    <row r="156" spans="1:11" x14ac:dyDescent="0.25">
      <c r="A156" s="5" t="str">
        <f t="shared" si="85"/>
        <v>STEM</v>
      </c>
      <c r="B156" s="5" t="str">
        <f t="shared" si="72"/>
        <v>SPS2</v>
      </c>
      <c r="C156" s="5" t="str">
        <f t="shared" si="86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8.1082663755837529E-4</v>
      </c>
      <c r="J156" s="1">
        <f>'[1]Electricity and CHPs'!F56</f>
        <v>1.1396390971490126E-3</v>
      </c>
      <c r="K156" s="1">
        <f>'[1]Electricity and CHPs'!G56</f>
        <v>2.9076186674575525E-4</v>
      </c>
    </row>
    <row r="157" spans="1:11" x14ac:dyDescent="0.25">
      <c r="A157" s="5" t="str">
        <f t="shared" si="85"/>
        <v>STEM</v>
      </c>
      <c r="B157" s="5" t="str">
        <f t="shared" si="72"/>
        <v>SPS2</v>
      </c>
      <c r="C157" s="5" t="str">
        <f t="shared" si="86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89">G158</f>
        <v>0.54529233979626501</v>
      </c>
      <c r="H157" s="1">
        <f t="shared" si="89"/>
        <v>0.50410702126395956</v>
      </c>
      <c r="I157" s="1">
        <f t="shared" si="89"/>
        <v>2.5237590781330628</v>
      </c>
      <c r="J157" s="1">
        <f t="shared" si="89"/>
        <v>5.2768108596067673</v>
      </c>
      <c r="K157" s="1">
        <f t="shared" si="89"/>
        <v>10.794166491072341</v>
      </c>
    </row>
    <row r="158" spans="1:11" x14ac:dyDescent="0.25">
      <c r="A158" s="5" t="str">
        <f t="shared" si="85"/>
        <v>STEM</v>
      </c>
      <c r="B158" s="5" t="str">
        <f t="shared" si="72"/>
        <v>SPS2</v>
      </c>
      <c r="C158" s="5" t="str">
        <f t="shared" si="86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0.54529233979626501</v>
      </c>
      <c r="H158" s="1">
        <f>'[1]Electricity and CHPs'!D33</f>
        <v>0.50410702126395956</v>
      </c>
      <c r="I158" s="1">
        <f>'[1]Electricity and CHPs'!E33</f>
        <v>2.5237590781330628</v>
      </c>
      <c r="J158" s="1">
        <f>'[1]Electricity and CHPs'!F33</f>
        <v>5.2768108596067673</v>
      </c>
      <c r="K158" s="1">
        <f>'[1]Electricity and CHPs'!G33</f>
        <v>10.794166491072341</v>
      </c>
    </row>
    <row r="159" spans="1:11" x14ac:dyDescent="0.25">
      <c r="A159" s="5" t="str">
        <f t="shared" si="85"/>
        <v>STEM</v>
      </c>
      <c r="B159" s="5" t="str">
        <f t="shared" si="72"/>
        <v>SPS2</v>
      </c>
      <c r="C159" s="5" t="str">
        <f t="shared" si="86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0">SUM(G160:G164)</f>
        <v>12.822610287474157</v>
      </c>
      <c r="H159" s="1">
        <f t="shared" si="90"/>
        <v>28.800004267459848</v>
      </c>
      <c r="I159" s="1">
        <f t="shared" si="90"/>
        <v>69.531414624214221</v>
      </c>
      <c r="J159" s="1">
        <f t="shared" si="90"/>
        <v>114.8064103903944</v>
      </c>
      <c r="K159" s="1">
        <f t="shared" si="90"/>
        <v>177.92903262905139</v>
      </c>
    </row>
    <row r="160" spans="1:11" x14ac:dyDescent="0.25">
      <c r="A160" s="5" t="str">
        <f t="shared" si="85"/>
        <v>STEM</v>
      </c>
      <c r="B160" s="5" t="str">
        <f t="shared" si="72"/>
        <v>SPS2</v>
      </c>
      <c r="C160" s="5" t="str">
        <f t="shared" si="86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0.14080235622460482</v>
      </c>
      <c r="I160" s="1">
        <f>'[1]Electricity and CHPs'!E34</f>
        <v>10.684521450981828</v>
      </c>
      <c r="J160" s="1">
        <f>'[1]Electricity and CHPs'!F34</f>
        <v>15.294206263464218</v>
      </c>
      <c r="K160" s="1">
        <f>'[1]Electricity and CHPs'!G34</f>
        <v>46.807590019099585</v>
      </c>
    </row>
    <row r="161" spans="1:11" x14ac:dyDescent="0.25">
      <c r="A161" s="5" t="str">
        <f t="shared" si="85"/>
        <v>STEM</v>
      </c>
      <c r="B161" s="5" t="str">
        <f t="shared" si="72"/>
        <v>SPS2</v>
      </c>
      <c r="C161" s="5" t="str">
        <f t="shared" si="86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4.8498358563541837</v>
      </c>
      <c r="H161" s="1">
        <f>'[1]Electricity and CHPs'!D35</f>
        <v>9.5944993976618136</v>
      </c>
      <c r="I161" s="1">
        <f>'[1]Electricity and CHPs'!E35</f>
        <v>17.736887493723508</v>
      </c>
      <c r="J161" s="1">
        <f>'[1]Electricity and CHPs'!F35</f>
        <v>39.100465857077438</v>
      </c>
      <c r="K161" s="1">
        <f>'[1]Electricity and CHPs'!G35</f>
        <v>62.60025769442899</v>
      </c>
    </row>
    <row r="162" spans="1:11" x14ac:dyDescent="0.25">
      <c r="A162" s="5" t="str">
        <f t="shared" si="85"/>
        <v>STEM</v>
      </c>
      <c r="B162" s="5" t="str">
        <f t="shared" si="72"/>
        <v>SPS2</v>
      </c>
      <c r="C162" s="5" t="str">
        <f t="shared" si="86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3.3906989306381425</v>
      </c>
      <c r="H162" s="1">
        <f>'[1]Electricity and CHPs'!D36</f>
        <v>8.0482095253905577</v>
      </c>
      <c r="I162" s="1">
        <f>'[1]Electricity and CHPs'!E36</f>
        <v>14.087835975785094</v>
      </c>
      <c r="J162" s="1">
        <f>'[1]Electricity and CHPs'!F36</f>
        <v>13.895281345206909</v>
      </c>
      <c r="K162" s="1">
        <f>'[1]Electricity and CHPs'!G36</f>
        <v>3.5567902270449543</v>
      </c>
    </row>
    <row r="163" spans="1:11" x14ac:dyDescent="0.25">
      <c r="A163" s="5" t="str">
        <f t="shared" si="85"/>
        <v>STEM</v>
      </c>
      <c r="B163" s="5" t="str">
        <f t="shared" si="72"/>
        <v>SPS2</v>
      </c>
      <c r="C163" s="5" t="str">
        <f t="shared" si="86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1.2876203432742255</v>
      </c>
      <c r="H163" s="1">
        <f>'[1]Electricity and CHPs'!D37</f>
        <v>4.1841005751370517</v>
      </c>
      <c r="I163" s="1">
        <f>'[1]Electricity and CHPs'!E37</f>
        <v>9.1198268211926994</v>
      </c>
      <c r="J163" s="1">
        <f>'[1]Electricity and CHPs'!F37</f>
        <v>15.837879921490506</v>
      </c>
      <c r="K163" s="1">
        <f>'[1]Electricity and CHPs'!G37</f>
        <v>27.700732623579608</v>
      </c>
    </row>
    <row r="164" spans="1:11" x14ac:dyDescent="0.25">
      <c r="A164" s="5" t="str">
        <f t="shared" si="85"/>
        <v>STEM</v>
      </c>
      <c r="B164" s="5" t="str">
        <f t="shared" si="72"/>
        <v>SPS2</v>
      </c>
      <c r="C164" s="5" t="str">
        <f t="shared" si="86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3.2944551572076066</v>
      </c>
      <c r="H164" s="1">
        <f>'[1]Electricity and CHPs'!D38</f>
        <v>6.8323924130458185</v>
      </c>
      <c r="I164" s="1">
        <f>'[1]Electricity and CHPs'!E38</f>
        <v>17.90234288253108</v>
      </c>
      <c r="J164" s="1">
        <f>'[1]Electricity and CHPs'!F38</f>
        <v>30.678577003155329</v>
      </c>
      <c r="K164" s="1">
        <f>'[1]Electricity and CHPs'!G38</f>
        <v>37.263662064898242</v>
      </c>
    </row>
    <row r="165" spans="1:11" x14ac:dyDescent="0.25">
      <c r="A165" s="5" t="str">
        <f>A168</f>
        <v>STEM</v>
      </c>
      <c r="B165" s="5" t="str">
        <f t="shared" si="72"/>
        <v>SPS2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1.5300906530899513E-2</v>
      </c>
      <c r="K165" s="1">
        <f>'[1]Electricity and CHPs'!G32</f>
        <v>1.5455372191332436E-2</v>
      </c>
    </row>
    <row r="166" spans="1:11" x14ac:dyDescent="0.25">
      <c r="A166" s="5" t="str">
        <f t="shared" ref="A166" si="91">A165</f>
        <v>STEM</v>
      </c>
      <c r="B166" s="5" t="str">
        <f t="shared" si="72"/>
        <v>SPS2</v>
      </c>
      <c r="C166" s="5" t="str">
        <f t="shared" ref="C166" si="9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93">G165</f>
        <v>0</v>
      </c>
      <c r="H166" s="1">
        <f t="shared" si="93"/>
        <v>0</v>
      </c>
      <c r="I166" s="1">
        <f t="shared" si="93"/>
        <v>0</v>
      </c>
      <c r="J166" s="1">
        <f t="shared" si="93"/>
        <v>1.5300906530899513E-2</v>
      </c>
      <c r="K166" s="1">
        <f t="shared" si="93"/>
        <v>1.5455372191332436E-2</v>
      </c>
    </row>
    <row r="167" spans="1:11" x14ac:dyDescent="0.25">
      <c r="A167" s="5" t="str">
        <f>A164</f>
        <v>STEM</v>
      </c>
      <c r="B167" s="5" t="str">
        <f t="shared" si="72"/>
        <v>SPS2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94">SUM(F168:F170)</f>
        <v>0</v>
      </c>
      <c r="G167" s="1">
        <f t="shared" si="94"/>
        <v>0</v>
      </c>
      <c r="H167" s="1">
        <f t="shared" si="94"/>
        <v>0</v>
      </c>
      <c r="I167" s="1">
        <f t="shared" si="94"/>
        <v>0.90816872626411838</v>
      </c>
      <c r="J167" s="1">
        <f t="shared" si="94"/>
        <v>0.5887069623281358</v>
      </c>
      <c r="K167" s="1">
        <f t="shared" si="94"/>
        <v>0.33431894261286632</v>
      </c>
    </row>
    <row r="168" spans="1:11" x14ac:dyDescent="0.25">
      <c r="A168" s="5" t="str">
        <f t="shared" si="85"/>
        <v>STEM</v>
      </c>
      <c r="B168" s="5" t="str">
        <f t="shared" si="72"/>
        <v>SPS2</v>
      </c>
      <c r="C168" s="5" t="str">
        <f t="shared" si="86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5.0849829086456961E-3</v>
      </c>
      <c r="K168" s="1">
        <f>'[1]Electricity and CHPs'!G30</f>
        <v>3.3600047671565208E-3</v>
      </c>
    </row>
    <row r="169" spans="1:11" x14ac:dyDescent="0.25">
      <c r="A169" s="5" t="str">
        <f>A165</f>
        <v>STEM</v>
      </c>
      <c r="B169" s="5" t="str">
        <f t="shared" si="72"/>
        <v>SPS2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0.90692863494163811</v>
      </c>
      <c r="J169" s="1">
        <f>'[1]Electricity and CHPs'!F46</f>
        <v>0.58230338609812793</v>
      </c>
      <c r="K169" s="1">
        <f>'[1]Electricity and CHPs'!G46</f>
        <v>0.330115134482035</v>
      </c>
    </row>
    <row r="170" spans="1:11" x14ac:dyDescent="0.25">
      <c r="A170" s="5" t="str">
        <f t="shared" si="85"/>
        <v>STEM</v>
      </c>
      <c r="B170" s="5" t="str">
        <f t="shared" si="72"/>
        <v>SPS2</v>
      </c>
      <c r="C170" s="5" t="str">
        <f t="shared" si="86"/>
        <v>CH</v>
      </c>
      <c r="D170" t="s">
        <v>234</v>
      </c>
      <c r="E170" t="str">
        <f t="shared" ref="E170:E178" si="9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1.2400913224802576E-3</v>
      </c>
      <c r="J170" s="1">
        <f>'[1]Electricity and CHPs'!F57</f>
        <v>1.3185933213621496E-3</v>
      </c>
      <c r="K170" s="1">
        <f>'[1]Electricity and CHPs'!G57</f>
        <v>8.4380336367481559E-4</v>
      </c>
    </row>
    <row r="171" spans="1:11" x14ac:dyDescent="0.25">
      <c r="A171" s="5" t="str">
        <f t="shared" si="85"/>
        <v>STEM</v>
      </c>
      <c r="B171" s="5" t="str">
        <f t="shared" si="72"/>
        <v>SPS2</v>
      </c>
      <c r="C171" s="5" t="str">
        <f t="shared" si="86"/>
        <v>CH</v>
      </c>
      <c r="D171" t="s">
        <v>807</v>
      </c>
      <c r="E171" t="str">
        <f t="shared" si="95"/>
        <v>PJ/yr.</v>
      </c>
      <c r="F171" s="1">
        <f>SUM(F172:F178)</f>
        <v>2.5231414380347296E-3</v>
      </c>
      <c r="G171" s="1">
        <f t="shared" ref="G171:K171" si="96">SUM(G172:G178)</f>
        <v>2.128417965644288E-2</v>
      </c>
      <c r="H171" s="1">
        <f t="shared" si="96"/>
        <v>0.10998762979011519</v>
      </c>
      <c r="I171" s="1">
        <f t="shared" si="96"/>
        <v>0.53711998720099519</v>
      </c>
      <c r="J171" s="1">
        <f t="shared" si="96"/>
        <v>2.6801356854780325</v>
      </c>
      <c r="K171" s="1">
        <f t="shared" si="96"/>
        <v>9.7808368344144103</v>
      </c>
    </row>
    <row r="172" spans="1:11" x14ac:dyDescent="0.25">
      <c r="A172" s="5" t="str">
        <f t="shared" si="85"/>
        <v>STEM</v>
      </c>
      <c r="B172" s="5" t="str">
        <f t="shared" si="72"/>
        <v>SPS2</v>
      </c>
      <c r="C172" s="5" t="str">
        <f t="shared" si="86"/>
        <v>CH</v>
      </c>
      <c r="D172" t="s">
        <v>79</v>
      </c>
      <c r="E172" t="str">
        <f t="shared" si="95"/>
        <v>PJ/yr.</v>
      </c>
      <c r="F172" s="1">
        <f>'[1]Electricity and CHPs'!B70</f>
        <v>9.2173447452090313E-5</v>
      </c>
      <c r="G172" s="1">
        <f>'[1]Electricity and CHPs'!C70</f>
        <v>7.4732864913854826E-3</v>
      </c>
      <c r="H172" s="1">
        <f>'[1]Electricity and CHPs'!D70</f>
        <v>9.4495850753995178E-2</v>
      </c>
      <c r="I172" s="1">
        <f>'[1]Electricity and CHPs'!E70</f>
        <v>9.4493485534884625E-2</v>
      </c>
      <c r="J172" s="1">
        <f>'[1]Electricity and CHPs'!F70</f>
        <v>8.4545019075509584E-2</v>
      </c>
      <c r="K172" s="1">
        <f>'[1]Electricity and CHPs'!G70</f>
        <v>5.6152076040370542E-2</v>
      </c>
    </row>
    <row r="173" spans="1:11" x14ac:dyDescent="0.25">
      <c r="A173" s="5" t="str">
        <f t="shared" si="85"/>
        <v>STEM</v>
      </c>
      <c r="B173" s="5" t="str">
        <f t="shared" si="72"/>
        <v>SPS2</v>
      </c>
      <c r="C173" s="5" t="str">
        <f t="shared" si="86"/>
        <v>CH</v>
      </c>
      <c r="D173" t="s">
        <v>80</v>
      </c>
      <c r="E173" t="str">
        <f t="shared" si="95"/>
        <v>PJ/yr.</v>
      </c>
      <c r="F173" s="1">
        <f>'[1]Electricity and CHPs'!B71</f>
        <v>2.4113916493885803E-4</v>
      </c>
      <c r="G173" s="1">
        <f>'[1]Electricity and CHPs'!C71</f>
        <v>3.2362688659373206E-3</v>
      </c>
      <c r="H173" s="1">
        <f>'[1]Electricity and CHPs'!D71</f>
        <v>4.0395061007788237E-3</v>
      </c>
      <c r="I173" s="1">
        <f>'[1]Electricity and CHPs'!E71</f>
        <v>4.6563389553930228E-3</v>
      </c>
      <c r="J173" s="1">
        <f>'[1]Electricity and CHPs'!F71</f>
        <v>1.9422299431321093</v>
      </c>
      <c r="K173" s="1">
        <f>'[1]Electricity and CHPs'!G71</f>
        <v>1.9427853597461857</v>
      </c>
    </row>
    <row r="174" spans="1:11" x14ac:dyDescent="0.25">
      <c r="A174" s="5" t="str">
        <f t="shared" si="85"/>
        <v>STEM</v>
      </c>
      <c r="B174" s="5" t="str">
        <f t="shared" si="72"/>
        <v>SPS2</v>
      </c>
      <c r="C174" s="5" t="str">
        <f t="shared" si="86"/>
        <v>CH</v>
      </c>
      <c r="D174" t="s">
        <v>81</v>
      </c>
      <c r="E174" t="str">
        <f t="shared" si="95"/>
        <v>PJ/yr.</v>
      </c>
      <c r="F174" s="1">
        <f>'[1]Electricity and CHPs'!B72</f>
        <v>2.9315692168091338E-4</v>
      </c>
      <c r="G174" s="1">
        <f>'[1]Electricity and CHPs'!C72</f>
        <v>2.9188394439161967E-3</v>
      </c>
      <c r="H174" s="1">
        <f>'[1]Electricity and CHPs'!D72</f>
        <v>3.6840894392247458E-3</v>
      </c>
      <c r="I174" s="1">
        <f>'[1]Electricity and CHPs'!E72</f>
        <v>4.2985499937799937E-3</v>
      </c>
      <c r="J174" s="1">
        <f>'[1]Electricity and CHPs'!F72</f>
        <v>3.5269631957753109E-2</v>
      </c>
      <c r="K174" s="1">
        <f>'[1]Electricity and CHPs'!G72</f>
        <v>6.9632701697724144</v>
      </c>
    </row>
    <row r="175" spans="1:11" x14ac:dyDescent="0.25">
      <c r="A175" s="5" t="str">
        <f t="shared" si="85"/>
        <v>STEM</v>
      </c>
      <c r="B175" s="5" t="str">
        <f t="shared" si="72"/>
        <v>SPS2</v>
      </c>
      <c r="C175" s="5" t="str">
        <f t="shared" si="86"/>
        <v>CH</v>
      </c>
      <c r="D175" t="s">
        <v>82</v>
      </c>
      <c r="E175" t="str">
        <f t="shared" si="95"/>
        <v>PJ/yr.</v>
      </c>
      <c r="F175" s="1">
        <f>'[1]Electricity and CHPs'!B73</f>
        <v>3.1527408692113808E-4</v>
      </c>
      <c r="G175" s="1">
        <f>'[1]Electricity and CHPs'!C73</f>
        <v>1.1559760180821727E-3</v>
      </c>
      <c r="H175" s="1">
        <f>'[1]Electricity and CHPs'!D73</f>
        <v>1.175954181882808E-3</v>
      </c>
      <c r="I175" s="1">
        <f>'[1]Electricity and CHPs'!E73</f>
        <v>4.0244035899304588E-3</v>
      </c>
      <c r="J175" s="1">
        <f>'[1]Electricity and CHPs'!F73</f>
        <v>7.1490870347362661E-3</v>
      </c>
      <c r="K175" s="1">
        <f>'[1]Electricity and CHPs'!G73</f>
        <v>5.5667059973738345E-3</v>
      </c>
    </row>
    <row r="176" spans="1:11" x14ac:dyDescent="0.25">
      <c r="A176" s="5" t="str">
        <f t="shared" si="85"/>
        <v>STEM</v>
      </c>
      <c r="B176" s="5" t="str">
        <f t="shared" si="85"/>
        <v>SPS2</v>
      </c>
      <c r="C176" s="5" t="str">
        <f t="shared" si="86"/>
        <v>CH</v>
      </c>
      <c r="D176" t="s">
        <v>1853</v>
      </c>
      <c r="E176" t="str">
        <f t="shared" si="95"/>
        <v>PJ/yr.</v>
      </c>
      <c r="F176" s="1">
        <f>'[1]Electricity and CHPs'!B74</f>
        <v>6.3465273521490857E-4</v>
      </c>
      <c r="G176" s="1">
        <f>'[1]Electricity and CHPs'!C74</f>
        <v>2.6691755466716621E-3</v>
      </c>
      <c r="H176" s="1">
        <f>'[1]Electricity and CHPs'!D74</f>
        <v>2.7051892527376817E-3</v>
      </c>
      <c r="I176" s="1">
        <f>'[1]Electricity and CHPs'!E74</f>
        <v>0.19254976827968764</v>
      </c>
      <c r="J176" s="1">
        <f>'[1]Electricity and CHPs'!F74</f>
        <v>0.29674999053539219</v>
      </c>
      <c r="K176" s="1">
        <f>'[1]Electricity and CHPs'!G74</f>
        <v>0.39863752090592586</v>
      </c>
    </row>
    <row r="177" spans="1:11" x14ac:dyDescent="0.25">
      <c r="A177" s="5" t="str">
        <f t="shared" si="85"/>
        <v>STEM</v>
      </c>
      <c r="B177" s="5" t="str">
        <f t="shared" si="85"/>
        <v>SPS2</v>
      </c>
      <c r="C177" s="5" t="str">
        <f t="shared" si="86"/>
        <v>CH</v>
      </c>
      <c r="D177" t="s">
        <v>83</v>
      </c>
      <c r="E177" t="str">
        <f t="shared" si="95"/>
        <v>PJ/yr.</v>
      </c>
      <c r="F177" s="1">
        <f>'[1]Electricity and CHPs'!B75</f>
        <v>6.3465314797252572E-4</v>
      </c>
      <c r="G177" s="1">
        <f>'[1]Electricity and CHPs'!C75</f>
        <v>2.6710628903513813E-3</v>
      </c>
      <c r="H177" s="1">
        <f>'[1]Electricity and CHPs'!D75</f>
        <v>2.707277749049324E-3</v>
      </c>
      <c r="I177" s="1">
        <f>'[1]Electricity and CHPs'!E75</f>
        <v>0.23310269695620811</v>
      </c>
      <c r="J177" s="1">
        <f>'[1]Electricity and CHPs'!F75</f>
        <v>0.30796421648846833</v>
      </c>
      <c r="K177" s="1">
        <f>'[1]Electricity and CHPs'!G75</f>
        <v>0.40984744833136033</v>
      </c>
    </row>
    <row r="178" spans="1:11" x14ac:dyDescent="0.25">
      <c r="A178" s="5" t="str">
        <f t="shared" si="85"/>
        <v>STEM</v>
      </c>
      <c r="B178" s="5" t="str">
        <f t="shared" si="85"/>
        <v>SPS2</v>
      </c>
      <c r="C178" s="5" t="str">
        <f t="shared" si="86"/>
        <v>CH</v>
      </c>
      <c r="D178" t="s">
        <v>87</v>
      </c>
      <c r="E178" t="str">
        <f t="shared" si="95"/>
        <v>PJ/yr.</v>
      </c>
      <c r="F178" s="1">
        <f>'[1]Electricity and CHPs'!B76</f>
        <v>3.120919338542954E-4</v>
      </c>
      <c r="G178" s="1">
        <f>'[1]Electricity and CHPs'!C76</f>
        <v>1.1595704000986649E-3</v>
      </c>
      <c r="H178" s="1">
        <f>'[1]Electricity and CHPs'!D76</f>
        <v>1.1797623124466102E-3</v>
      </c>
      <c r="I178" s="1">
        <f>'[1]Electricity and CHPs'!E76</f>
        <v>3.9947438911112952E-3</v>
      </c>
      <c r="J178" s="1">
        <f>'[1]Electricity and CHPs'!F76</f>
        <v>6.227797254063458E-3</v>
      </c>
      <c r="K178" s="1">
        <f>'[1]Electricity and CHPs'!G76</f>
        <v>4.577553620779105E-3</v>
      </c>
    </row>
    <row r="179" spans="1:11" x14ac:dyDescent="0.25">
      <c r="A179" s="9" t="str">
        <f t="shared" si="85"/>
        <v>STEM</v>
      </c>
      <c r="B179" s="9" t="str">
        <f t="shared" si="85"/>
        <v>SPS2</v>
      </c>
      <c r="C179" s="2" t="str">
        <f t="shared" si="86"/>
        <v>CH</v>
      </c>
      <c r="D179" s="2" t="s">
        <v>152</v>
      </c>
      <c r="E179" s="2" t="str">
        <f>E167</f>
        <v>PJ/yr.</v>
      </c>
      <c r="F179" s="3">
        <f>SUM(F180,F231)</f>
        <v>29.858907545186796</v>
      </c>
      <c r="G179" s="3">
        <f t="shared" ref="G179:K179" si="97">SUM(G180,G231)</f>
        <v>33.516912079041248</v>
      </c>
      <c r="H179" s="3">
        <f t="shared" si="97"/>
        <v>31.458935914278982</v>
      </c>
      <c r="I179" s="3">
        <f t="shared" si="97"/>
        <v>37.294434320043969</v>
      </c>
      <c r="J179" s="3">
        <f t="shared" si="97"/>
        <v>43.570813237703028</v>
      </c>
      <c r="K179" s="3">
        <f t="shared" si="97"/>
        <v>51.686770987005389</v>
      </c>
    </row>
    <row r="180" spans="1:11" x14ac:dyDescent="0.25">
      <c r="A180" s="5" t="s">
        <v>5</v>
      </c>
      <c r="B180" s="5" t="str">
        <f t="shared" ref="B180:B243" si="98">B179</f>
        <v>SPS2</v>
      </c>
      <c r="C180" s="5" t="s">
        <v>7</v>
      </c>
      <c r="D180" t="s">
        <v>808</v>
      </c>
      <c r="E180" t="str">
        <f>E168</f>
        <v>PJ/yr.</v>
      </c>
      <c r="F180" s="1">
        <f t="shared" ref="F180:K180" si="99">F181+F208</f>
        <v>23.057865701011721</v>
      </c>
      <c r="G180" s="1">
        <f t="shared" si="99"/>
        <v>25.545663562403099</v>
      </c>
      <c r="H180" s="1">
        <f t="shared" si="99"/>
        <v>23.927218063374177</v>
      </c>
      <c r="I180" s="1">
        <f t="shared" si="99"/>
        <v>28.455666442858409</v>
      </c>
      <c r="J180" s="1">
        <f t="shared" si="99"/>
        <v>33.961178421377824</v>
      </c>
      <c r="K180" s="1">
        <f t="shared" si="99"/>
        <v>36.23078829728081</v>
      </c>
    </row>
    <row r="181" spans="1:11" x14ac:dyDescent="0.25">
      <c r="A181" s="5" t="s">
        <v>5</v>
      </c>
      <c r="B181" s="5" t="str">
        <f t="shared" si="98"/>
        <v>SPS2</v>
      </c>
      <c r="C181" s="5" t="s">
        <v>7</v>
      </c>
      <c r="D181" t="s">
        <v>823</v>
      </c>
      <c r="E181" t="str">
        <f>E165</f>
        <v>PJ/yr.</v>
      </c>
      <c r="F181" s="1">
        <f t="shared" ref="F181:K181" si="100">SUM(F183,F187,F188,F196,F197,F205,F207)</f>
        <v>16.274170876371407</v>
      </c>
      <c r="G181" s="1">
        <f t="shared" si="100"/>
        <v>13.303712603025232</v>
      </c>
      <c r="H181" s="1">
        <f t="shared" si="100"/>
        <v>13.494122012872822</v>
      </c>
      <c r="I181" s="1">
        <f t="shared" si="100"/>
        <v>13.540652794497257</v>
      </c>
      <c r="J181" s="1">
        <f t="shared" si="100"/>
        <v>13.860477331073936</v>
      </c>
      <c r="K181" s="1">
        <f t="shared" si="100"/>
        <v>15.667833192387173</v>
      </c>
    </row>
    <row r="182" spans="1:11" x14ac:dyDescent="0.25">
      <c r="A182" s="5" t="s">
        <v>5</v>
      </c>
      <c r="B182" s="5" t="str">
        <f t="shared" si="98"/>
        <v>SPS2</v>
      </c>
      <c r="C182" s="5" t="s">
        <v>7</v>
      </c>
      <c r="D182" t="s">
        <v>809</v>
      </c>
      <c r="E182" t="s">
        <v>8</v>
      </c>
      <c r="F182" s="1">
        <f>F183</f>
        <v>9.2624803365367412E-3</v>
      </c>
      <c r="G182" s="1">
        <f t="shared" ref="G182:K182" si="101">G183</f>
        <v>4.7306788152443784E-4</v>
      </c>
      <c r="H182" s="1">
        <f t="shared" si="101"/>
        <v>9.727197924957404E-3</v>
      </c>
      <c r="I182" s="1">
        <f t="shared" si="101"/>
        <v>4.6688998356708561E-3</v>
      </c>
      <c r="J182" s="1">
        <f t="shared" si="101"/>
        <v>5.5245095140363954E-3</v>
      </c>
      <c r="K182" s="1">
        <f t="shared" si="101"/>
        <v>7.9899575922259825E-6</v>
      </c>
    </row>
    <row r="183" spans="1:11" x14ac:dyDescent="0.25">
      <c r="A183" s="5" t="s">
        <v>5</v>
      </c>
      <c r="B183" s="5" t="str">
        <f t="shared" si="98"/>
        <v>SPS2</v>
      </c>
      <c r="C183" s="5" t="s">
        <v>7</v>
      </c>
      <c r="D183" t="s">
        <v>229</v>
      </c>
      <c r="E183" t="s">
        <v>8</v>
      </c>
      <c r="F183" s="1">
        <f>'[1]Electricity and CHPs'!B$94</f>
        <v>9.2624803365367412E-3</v>
      </c>
      <c r="G183" s="1">
        <f>'[1]Electricity and CHPs'!C$94</f>
        <v>4.7306788152443784E-4</v>
      </c>
      <c r="H183" s="1">
        <f>'[1]Electricity and CHPs'!D$94</f>
        <v>9.727197924957404E-3</v>
      </c>
      <c r="I183" s="1">
        <f>'[1]Electricity and CHPs'!E$94</f>
        <v>4.6688998356708561E-3</v>
      </c>
      <c r="J183" s="1">
        <f>'[1]Electricity and CHPs'!F$94</f>
        <v>5.5245095140363954E-3</v>
      </c>
      <c r="K183" s="1">
        <f>'[1]Electricity and CHPs'!G$94</f>
        <v>7.9899575922259825E-6</v>
      </c>
    </row>
    <row r="184" spans="1:11" x14ac:dyDescent="0.25">
      <c r="A184" s="5" t="s">
        <v>5</v>
      </c>
      <c r="B184" s="5" t="str">
        <f t="shared" si="98"/>
        <v>SPS2</v>
      </c>
      <c r="C184" s="5" t="s">
        <v>7</v>
      </c>
      <c r="D184" t="s">
        <v>517</v>
      </c>
      <c r="E184" t="s">
        <v>8</v>
      </c>
      <c r="F184" s="1">
        <f>F183-F185</f>
        <v>9.2624803365367412E-3</v>
      </c>
      <c r="G184" s="1">
        <f t="shared" ref="G184:K184" si="102">G183-G185</f>
        <v>4.7306788152443784E-4</v>
      </c>
      <c r="H184" s="1">
        <f t="shared" si="102"/>
        <v>9.727197924957404E-3</v>
      </c>
      <c r="I184" s="1">
        <f t="shared" si="102"/>
        <v>4.6688998356708561E-3</v>
      </c>
      <c r="J184" s="1">
        <f t="shared" si="102"/>
        <v>5.5245095140363954E-3</v>
      </c>
      <c r="K184" s="1">
        <f t="shared" si="102"/>
        <v>7.9899575922259825E-6</v>
      </c>
    </row>
    <row r="185" spans="1:11" x14ac:dyDescent="0.25">
      <c r="A185" s="5" t="s">
        <v>5</v>
      </c>
      <c r="B185" s="5" t="str">
        <f t="shared" si="98"/>
        <v>SPS2</v>
      </c>
      <c r="C185" s="5" t="s">
        <v>7</v>
      </c>
      <c r="D185" t="s">
        <v>541</v>
      </c>
      <c r="E185" t="s">
        <v>8</v>
      </c>
      <c r="F185" s="1">
        <f t="shared" ref="F185:K185" si="103">F183*IFERROR(F78/F74,0)</f>
        <v>0</v>
      </c>
      <c r="G185" s="1">
        <f t="shared" si="103"/>
        <v>0</v>
      </c>
      <c r="H185" s="1">
        <f t="shared" si="103"/>
        <v>0</v>
      </c>
      <c r="I185" s="1">
        <f t="shared" si="103"/>
        <v>0</v>
      </c>
      <c r="J185" s="1">
        <f t="shared" si="103"/>
        <v>0</v>
      </c>
      <c r="K185" s="1">
        <f t="shared" si="103"/>
        <v>0</v>
      </c>
    </row>
    <row r="186" spans="1:11" x14ac:dyDescent="0.25">
      <c r="A186" s="5" t="s">
        <v>5</v>
      </c>
      <c r="B186" s="5" t="str">
        <f t="shared" si="98"/>
        <v>SPS2</v>
      </c>
      <c r="C186" s="5" t="s">
        <v>7</v>
      </c>
      <c r="D186" t="s">
        <v>810</v>
      </c>
      <c r="E186" t="s">
        <v>8</v>
      </c>
      <c r="F186" s="1">
        <f>SUM(F187:F188)</f>
        <v>1.8035510959187242</v>
      </c>
      <c r="G186" s="1">
        <f t="shared" ref="G186:K186" si="104">SUM(G187:G188)</f>
        <v>1.1862453865855349E-3</v>
      </c>
      <c r="H186" s="1">
        <f t="shared" si="104"/>
        <v>1.1705980676556869E-2</v>
      </c>
      <c r="I186" s="1">
        <f t="shared" si="104"/>
        <v>4.4357860474954899E-3</v>
      </c>
      <c r="J186" s="1">
        <f t="shared" si="104"/>
        <v>8.6963760722779337E-2</v>
      </c>
      <c r="K186" s="1">
        <f t="shared" si="104"/>
        <v>7.1387367435183963E-4</v>
      </c>
    </row>
    <row r="187" spans="1:11" x14ac:dyDescent="0.25">
      <c r="A187" s="5" t="s">
        <v>5</v>
      </c>
      <c r="B187" s="5" t="str">
        <f t="shared" si="98"/>
        <v>SPS2</v>
      </c>
      <c r="C187" s="5" t="s">
        <v>7</v>
      </c>
      <c r="D187" t="s">
        <v>153</v>
      </c>
      <c r="E187" t="s">
        <v>8</v>
      </c>
      <c r="F187" s="1">
        <f>'[1]Electricity and CHPs'!B$91</f>
        <v>1.8035510959187242</v>
      </c>
      <c r="G187" s="1">
        <f>'[1]Electricity and CHPs'!C$91</f>
        <v>1.1862453865855349E-3</v>
      </c>
      <c r="H187" s="1">
        <f>'[1]Electricity and CHPs'!D$91</f>
        <v>1.1705980676556869E-2</v>
      </c>
      <c r="I187" s="1">
        <f>'[1]Electricity and CHPs'!E$91</f>
        <v>4.4357860474954899E-3</v>
      </c>
      <c r="J187" s="1">
        <f>'[1]Electricity and CHPs'!F$91</f>
        <v>4.6567962079732149E-2</v>
      </c>
      <c r="K187" s="1">
        <f>'[1]Electricity and CHPs'!G$91</f>
        <v>3.4926126306285152E-4</v>
      </c>
    </row>
    <row r="188" spans="1:11" x14ac:dyDescent="0.25">
      <c r="A188" s="5" t="s">
        <v>5</v>
      </c>
      <c r="B188" s="5" t="str">
        <f t="shared" si="98"/>
        <v>SPS2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4.0395798643047182E-2</v>
      </c>
      <c r="K188" s="1">
        <f>'[1]Electricity and CHPs'!G$95</f>
        <v>3.6461241128898811E-4</v>
      </c>
    </row>
    <row r="189" spans="1:11" x14ac:dyDescent="0.25">
      <c r="A189" s="5"/>
      <c r="B189" s="5" t="str">
        <f t="shared" si="98"/>
        <v>SPS2</v>
      </c>
      <c r="C189" s="5" t="str">
        <f>C188</f>
        <v>CH</v>
      </c>
      <c r="D189" t="s">
        <v>811</v>
      </c>
      <c r="E189" t="s">
        <v>8</v>
      </c>
      <c r="F189" s="1">
        <f>SUM(F190:F191)</f>
        <v>1.7573128360453341</v>
      </c>
      <c r="G189" s="1">
        <f t="shared" ref="G189:K189" si="105">SUM(G190:G191)</f>
        <v>1.1486694000037319E-3</v>
      </c>
      <c r="H189" s="1">
        <f t="shared" si="105"/>
        <v>1.1688919219482258E-2</v>
      </c>
      <c r="I189" s="1">
        <f t="shared" si="105"/>
        <v>4.2697105959047027E-3</v>
      </c>
      <c r="J189" s="1">
        <f t="shared" si="105"/>
        <v>6.9660687058056614E-2</v>
      </c>
      <c r="K189" s="1">
        <f t="shared" si="105"/>
        <v>2.3058520817671692E-4</v>
      </c>
    </row>
    <row r="190" spans="1:11" x14ac:dyDescent="0.25">
      <c r="A190" s="5" t="s">
        <v>5</v>
      </c>
      <c r="B190" s="5" t="str">
        <f t="shared" si="98"/>
        <v>SPS2</v>
      </c>
      <c r="C190" s="5" t="s">
        <v>7</v>
      </c>
      <c r="D190" t="s">
        <v>567</v>
      </c>
      <c r="E190" t="s">
        <v>8</v>
      </c>
      <c r="F190" s="1">
        <f>F187-F193</f>
        <v>1.7573128360453341</v>
      </c>
      <c r="G190" s="1">
        <f t="shared" ref="G190:K190" si="106">G187-G193</f>
        <v>1.1486694000037319E-3</v>
      </c>
      <c r="H190" s="1">
        <f t="shared" si="106"/>
        <v>1.1688919219482258E-2</v>
      </c>
      <c r="I190" s="1">
        <f t="shared" si="106"/>
        <v>4.2697105959047027E-3</v>
      </c>
      <c r="J190" s="1">
        <f t="shared" si="106"/>
        <v>3.7302391322618422E-2</v>
      </c>
      <c r="K190" s="1">
        <f t="shared" si="106"/>
        <v>1.1281335051965862E-4</v>
      </c>
    </row>
    <row r="191" spans="1:11" x14ac:dyDescent="0.25">
      <c r="A191" s="5" t="s">
        <v>5</v>
      </c>
      <c r="B191" s="5" t="str">
        <f t="shared" si="98"/>
        <v>SPS2</v>
      </c>
      <c r="C191" s="5" t="s">
        <v>7</v>
      </c>
      <c r="D191" t="s">
        <v>568</v>
      </c>
      <c r="E191" t="s">
        <v>8</v>
      </c>
      <c r="F191" s="1">
        <f t="shared" ref="F191:K191" si="107">F188-F194</f>
        <v>0</v>
      </c>
      <c r="G191" s="1">
        <f t="shared" si="107"/>
        <v>0</v>
      </c>
      <c r="H191" s="1">
        <f t="shared" si="107"/>
        <v>0</v>
      </c>
      <c r="I191" s="1">
        <f t="shared" si="107"/>
        <v>0</v>
      </c>
      <c r="J191" s="1">
        <f t="shared" si="107"/>
        <v>3.2358295735438192E-2</v>
      </c>
      <c r="K191" s="1">
        <f t="shared" si="107"/>
        <v>1.177718576570583E-4</v>
      </c>
    </row>
    <row r="192" spans="1:11" x14ac:dyDescent="0.25">
      <c r="A192" s="5"/>
      <c r="B192" s="5" t="str">
        <f t="shared" si="98"/>
        <v>SPS2</v>
      </c>
      <c r="C192" s="5" t="s">
        <v>7</v>
      </c>
      <c r="D192" t="s">
        <v>812</v>
      </c>
      <c r="E192" t="s">
        <v>8</v>
      </c>
      <c r="F192" s="1">
        <f>SUM(F193:F194)</f>
        <v>4.6238259873390218E-2</v>
      </c>
      <c r="G192" s="1">
        <f t="shared" ref="G192:K192" si="108">SUM(G193:G194)</f>
        <v>3.7575986581803041E-5</v>
      </c>
      <c r="H192" s="1">
        <f t="shared" si="108"/>
        <v>1.7061457074611471E-5</v>
      </c>
      <c r="I192" s="1">
        <f t="shared" si="108"/>
        <v>1.6607545159078743E-4</v>
      </c>
      <c r="J192" s="1">
        <f t="shared" si="108"/>
        <v>1.7303073664722717E-2</v>
      </c>
      <c r="K192" s="1">
        <f t="shared" si="108"/>
        <v>4.8328846617512271E-4</v>
      </c>
    </row>
    <row r="193" spans="1:11" x14ac:dyDescent="0.25">
      <c r="A193" s="5" t="s">
        <v>5</v>
      </c>
      <c r="B193" s="5" t="str">
        <f t="shared" si="98"/>
        <v>SPS2</v>
      </c>
      <c r="C193" s="5" t="s">
        <v>7</v>
      </c>
      <c r="D193" t="s">
        <v>628</v>
      </c>
      <c r="E193" t="s">
        <v>8</v>
      </c>
      <c r="F193" s="1">
        <f t="shared" ref="F193:K194" si="109">F187*IFERROR(F116/F84,0)</f>
        <v>4.6238259873390218E-2</v>
      </c>
      <c r="G193" s="1">
        <f t="shared" si="109"/>
        <v>3.7575986581803041E-5</v>
      </c>
      <c r="H193" s="1">
        <f t="shared" si="109"/>
        <v>1.7061457074611471E-5</v>
      </c>
      <c r="I193" s="1">
        <f t="shared" si="109"/>
        <v>1.6607545159078743E-4</v>
      </c>
      <c r="J193" s="1">
        <f t="shared" si="109"/>
        <v>9.2655707571137266E-3</v>
      </c>
      <c r="K193" s="1">
        <f t="shared" si="109"/>
        <v>2.364479125431929E-4</v>
      </c>
    </row>
    <row r="194" spans="1:11" x14ac:dyDescent="0.25">
      <c r="A194" s="5" t="s">
        <v>5</v>
      </c>
      <c r="B194" s="5" t="str">
        <f t="shared" si="98"/>
        <v>SPS2</v>
      </c>
      <c r="C194" s="5" t="s">
        <v>7</v>
      </c>
      <c r="D194" t="s">
        <v>629</v>
      </c>
      <c r="E194" t="s">
        <v>8</v>
      </c>
      <c r="F194" s="1">
        <f t="shared" si="109"/>
        <v>0</v>
      </c>
      <c r="G194" s="1">
        <f t="shared" si="109"/>
        <v>0</v>
      </c>
      <c r="H194" s="1">
        <f t="shared" si="109"/>
        <v>0</v>
      </c>
      <c r="I194" s="1">
        <f t="shared" si="109"/>
        <v>0</v>
      </c>
      <c r="J194" s="1">
        <f t="shared" si="109"/>
        <v>8.0375029076089899E-3</v>
      </c>
      <c r="K194" s="1">
        <f t="shared" si="109"/>
        <v>2.4684055363192981E-4</v>
      </c>
    </row>
    <row r="195" spans="1:11" x14ac:dyDescent="0.25">
      <c r="A195" s="5" t="s">
        <v>5</v>
      </c>
      <c r="B195" s="5" t="str">
        <f t="shared" si="98"/>
        <v>SPS2</v>
      </c>
      <c r="C195" s="5" t="s">
        <v>7</v>
      </c>
      <c r="D195" t="s">
        <v>813</v>
      </c>
      <c r="E195" t="s">
        <v>8</v>
      </c>
      <c r="F195" s="1">
        <f>SUM(F196:F197)</f>
        <v>14.461260477271779</v>
      </c>
      <c r="G195" s="1">
        <f t="shared" ref="G195:K195" si="110">SUM(G196:G197)</f>
        <v>13.159404849482078</v>
      </c>
      <c r="H195" s="1">
        <f t="shared" si="110"/>
        <v>13.470762138996649</v>
      </c>
      <c r="I195" s="1">
        <f t="shared" si="110"/>
        <v>13.510625828456901</v>
      </c>
      <c r="J195" s="1">
        <f t="shared" si="110"/>
        <v>13.035390786334899</v>
      </c>
      <c r="K195" s="1">
        <f t="shared" si="110"/>
        <v>11.851044803718533</v>
      </c>
    </row>
    <row r="196" spans="1:11" x14ac:dyDescent="0.25">
      <c r="A196" s="5" t="s">
        <v>5</v>
      </c>
      <c r="B196" s="5" t="str">
        <f t="shared" si="98"/>
        <v>SPS2</v>
      </c>
      <c r="C196" s="5" t="s">
        <v>7</v>
      </c>
      <c r="D196" t="s">
        <v>155</v>
      </c>
      <c r="E196" t="s">
        <v>8</v>
      </c>
      <c r="F196" s="1">
        <f>'[1]Electricity and CHPs'!B$93-F197</f>
        <v>14.461260477271779</v>
      </c>
      <c r="G196" s="1">
        <f>'[1]Electricity and CHPs'!C$93-G197</f>
        <v>13.159404849482078</v>
      </c>
      <c r="H196" s="1">
        <f>'[1]Electricity and CHPs'!D$93-H197</f>
        <v>13.470762138996649</v>
      </c>
      <c r="I196" s="1">
        <f>'[1]Electricity and CHPs'!E$93-I197</f>
        <v>13.510625828456901</v>
      </c>
      <c r="J196" s="1">
        <f>'[1]Electricity and CHPs'!F$93-J197</f>
        <v>10.81698594203926</v>
      </c>
      <c r="K196" s="1">
        <f>'[1]Electricity and CHPs'!G$93-K197</f>
        <v>4.9040172491837346</v>
      </c>
    </row>
    <row r="197" spans="1:11" x14ac:dyDescent="0.25">
      <c r="A197" s="5" t="s">
        <v>5</v>
      </c>
      <c r="B197" s="5" t="str">
        <f t="shared" si="98"/>
        <v>SPS2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2.2184048442956397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6.9470275545347988</v>
      </c>
    </row>
    <row r="198" spans="1:11" x14ac:dyDescent="0.25">
      <c r="A198" s="5" t="s">
        <v>5</v>
      </c>
      <c r="B198" s="5" t="str">
        <f t="shared" si="98"/>
        <v>SPS2</v>
      </c>
      <c r="C198" s="5" t="s">
        <v>7</v>
      </c>
      <c r="D198" t="s">
        <v>814</v>
      </c>
      <c r="E198" t="s">
        <v>8</v>
      </c>
      <c r="F198" s="1">
        <f>SUM(F199:F200)</f>
        <v>7.2306302386358894</v>
      </c>
      <c r="G198" s="1">
        <f t="shared" ref="G198:K198" si="111">SUM(G199:G200)</f>
        <v>6.5797024247410381</v>
      </c>
      <c r="H198" s="1">
        <f t="shared" si="111"/>
        <v>6.7353810694983238</v>
      </c>
      <c r="I198" s="1">
        <f t="shared" si="111"/>
        <v>6.7553129142284503</v>
      </c>
      <c r="J198" s="1">
        <f t="shared" si="111"/>
        <v>6.5176953931674495</v>
      </c>
      <c r="K198" s="1">
        <f t="shared" si="111"/>
        <v>5.9255224018592667</v>
      </c>
    </row>
    <row r="199" spans="1:11" x14ac:dyDescent="0.25">
      <c r="A199" s="5" t="s">
        <v>5</v>
      </c>
      <c r="B199" s="5" t="str">
        <f t="shared" si="98"/>
        <v>SPS2</v>
      </c>
      <c r="C199" s="5" t="s">
        <v>7</v>
      </c>
      <c r="D199" t="s">
        <v>157</v>
      </c>
      <c r="E199" t="s">
        <v>8</v>
      </c>
      <c r="F199" s="1">
        <f t="shared" ref="F199:K199" si="112">F196*F138/F131</f>
        <v>7.2306302386358894</v>
      </c>
      <c r="G199" s="1">
        <f t="shared" si="112"/>
        <v>6.5797024247410381</v>
      </c>
      <c r="H199" s="1">
        <f t="shared" si="112"/>
        <v>6.7353810694983238</v>
      </c>
      <c r="I199" s="1">
        <f t="shared" si="112"/>
        <v>6.7553129142284503</v>
      </c>
      <c r="J199" s="1">
        <f t="shared" si="112"/>
        <v>5.4084929710196299</v>
      </c>
      <c r="K199" s="1">
        <f t="shared" si="112"/>
        <v>2.4520086245918673</v>
      </c>
    </row>
    <row r="200" spans="1:11" x14ac:dyDescent="0.25">
      <c r="A200" s="5" t="s">
        <v>5</v>
      </c>
      <c r="B200" s="5" t="str">
        <f t="shared" si="98"/>
        <v>SPS2</v>
      </c>
      <c r="C200" s="5" t="s">
        <v>7</v>
      </c>
      <c r="D200" t="s">
        <v>158</v>
      </c>
      <c r="E200" t="s">
        <v>8</v>
      </c>
      <c r="F200" s="1">
        <f t="shared" ref="F200:K200" si="113">F197*IFERROR(F139/F132,0)</f>
        <v>0</v>
      </c>
      <c r="G200" s="1">
        <f t="shared" si="113"/>
        <v>0</v>
      </c>
      <c r="H200" s="1">
        <f t="shared" si="113"/>
        <v>0</v>
      </c>
      <c r="I200" s="1">
        <f t="shared" si="113"/>
        <v>0</v>
      </c>
      <c r="J200" s="1">
        <f t="shared" si="113"/>
        <v>1.1092024221478198</v>
      </c>
      <c r="K200" s="1">
        <f t="shared" si="113"/>
        <v>3.4735137772673994</v>
      </c>
    </row>
    <row r="201" spans="1:11" x14ac:dyDescent="0.25">
      <c r="A201" s="5" t="s">
        <v>5</v>
      </c>
      <c r="B201" s="5" t="str">
        <f t="shared" si="98"/>
        <v>SPS2</v>
      </c>
      <c r="C201" s="5" t="s">
        <v>7</v>
      </c>
      <c r="D201" t="s">
        <v>815</v>
      </c>
      <c r="E201" t="s">
        <v>8</v>
      </c>
      <c r="F201" s="1">
        <f>SUM(F202:F203)</f>
        <v>7.2306302386358894</v>
      </c>
      <c r="G201" s="1">
        <f t="shared" ref="G201:K201" si="114">SUM(G202:G203)</f>
        <v>6.5797024247410398</v>
      </c>
      <c r="H201" s="1">
        <f t="shared" si="114"/>
        <v>6.7353810694983256</v>
      </c>
      <c r="I201" s="1">
        <f t="shared" si="114"/>
        <v>6.7553129142284503</v>
      </c>
      <c r="J201" s="1">
        <f t="shared" si="114"/>
        <v>6.5176953931674495</v>
      </c>
      <c r="K201" s="1">
        <f t="shared" si="114"/>
        <v>5.9255224018592667</v>
      </c>
    </row>
    <row r="202" spans="1:11" x14ac:dyDescent="0.25">
      <c r="A202" s="5" t="s">
        <v>5</v>
      </c>
      <c r="B202" s="5" t="str">
        <f t="shared" si="98"/>
        <v>SPS2</v>
      </c>
      <c r="C202" s="5" t="s">
        <v>7</v>
      </c>
      <c r="D202" t="s">
        <v>159</v>
      </c>
      <c r="E202" t="s">
        <v>8</v>
      </c>
      <c r="F202" s="1">
        <f t="shared" ref="F202:K203" si="115">F196-F199</f>
        <v>7.2306302386358894</v>
      </c>
      <c r="G202" s="1">
        <f t="shared" si="115"/>
        <v>6.5797024247410398</v>
      </c>
      <c r="H202" s="1">
        <f t="shared" si="115"/>
        <v>6.7353810694983256</v>
      </c>
      <c r="I202" s="1">
        <f t="shared" si="115"/>
        <v>6.7553129142284503</v>
      </c>
      <c r="J202" s="1">
        <f t="shared" si="115"/>
        <v>5.4084929710196299</v>
      </c>
      <c r="K202" s="1">
        <f t="shared" si="115"/>
        <v>2.4520086245918673</v>
      </c>
    </row>
    <row r="203" spans="1:11" x14ac:dyDescent="0.25">
      <c r="A203" s="5" t="s">
        <v>5</v>
      </c>
      <c r="B203" s="5" t="str">
        <f t="shared" si="98"/>
        <v>SPS2</v>
      </c>
      <c r="C203" s="5" t="s">
        <v>7</v>
      </c>
      <c r="D203" t="s">
        <v>160</v>
      </c>
      <c r="E203" t="s">
        <v>8</v>
      </c>
      <c r="F203" s="1">
        <f t="shared" si="115"/>
        <v>0</v>
      </c>
      <c r="G203" s="1">
        <f t="shared" si="115"/>
        <v>0</v>
      </c>
      <c r="H203" s="1">
        <f t="shared" si="115"/>
        <v>0</v>
      </c>
      <c r="I203" s="1">
        <f t="shared" si="115"/>
        <v>0</v>
      </c>
      <c r="J203" s="1">
        <f t="shared" si="115"/>
        <v>1.1092024221478198</v>
      </c>
      <c r="K203" s="1">
        <f t="shared" si="115"/>
        <v>3.4735137772673994</v>
      </c>
    </row>
    <row r="204" spans="1:11" x14ac:dyDescent="0.25">
      <c r="A204" s="5" t="s">
        <v>5</v>
      </c>
      <c r="B204" s="5" t="str">
        <f t="shared" si="98"/>
        <v>SPS2</v>
      </c>
      <c r="C204" s="5" t="s">
        <v>7</v>
      </c>
      <c r="D204" t="s">
        <v>816</v>
      </c>
      <c r="E204" t="s">
        <v>8</v>
      </c>
      <c r="F204" s="1">
        <f>F205</f>
        <v>9.6822844366130091E-5</v>
      </c>
      <c r="G204" s="1">
        <f t="shared" ref="G204:K204" si="116">G205</f>
        <v>0.14264844027504456</v>
      </c>
      <c r="H204" s="1">
        <f t="shared" si="116"/>
        <v>1.9266952746583212E-3</v>
      </c>
      <c r="I204" s="1">
        <f t="shared" si="116"/>
        <v>2.092228015719072E-2</v>
      </c>
      <c r="J204" s="1">
        <f t="shared" si="116"/>
        <v>0.72642365239886686</v>
      </c>
      <c r="K204" s="1">
        <f t="shared" si="116"/>
        <v>3.8118265190209963</v>
      </c>
    </row>
    <row r="205" spans="1:11" x14ac:dyDescent="0.25">
      <c r="A205" s="5" t="s">
        <v>5</v>
      </c>
      <c r="B205" s="5" t="str">
        <f t="shared" si="98"/>
        <v>SPS2</v>
      </c>
      <c r="C205" s="5" t="s">
        <v>7</v>
      </c>
      <c r="D205" t="s">
        <v>161</v>
      </c>
      <c r="E205" t="s">
        <v>8</v>
      </c>
      <c r="F205" s="1">
        <f>'[1]Electricity and CHPs'!B$92</f>
        <v>9.6822844366130091E-5</v>
      </c>
      <c r="G205" s="1">
        <f>'[1]Electricity and CHPs'!C$92</f>
        <v>0.14264844027504456</v>
      </c>
      <c r="H205" s="1">
        <f>'[1]Electricity and CHPs'!D$92</f>
        <v>1.9266952746583212E-3</v>
      </c>
      <c r="I205" s="1">
        <f>'[1]Electricity and CHPs'!E$92</f>
        <v>2.092228015719072E-2</v>
      </c>
      <c r="J205" s="1">
        <f>'[1]Electricity and CHPs'!F$92</f>
        <v>0.72642365239886686</v>
      </c>
      <c r="K205" s="1">
        <f>'[1]Electricity and CHPs'!G$92</f>
        <v>3.8118265190209963</v>
      </c>
    </row>
    <row r="206" spans="1:11" x14ac:dyDescent="0.25">
      <c r="A206" s="5" t="s">
        <v>5</v>
      </c>
      <c r="B206" s="5" t="str">
        <f t="shared" si="98"/>
        <v>SPS2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17">+G207</f>
        <v>0</v>
      </c>
      <c r="H206" s="1">
        <f t="shared" si="117"/>
        <v>0</v>
      </c>
      <c r="I206" s="1">
        <f t="shared" si="117"/>
        <v>0</v>
      </c>
      <c r="J206" s="1">
        <f t="shared" si="117"/>
        <v>6.1746221033554625E-3</v>
      </c>
      <c r="K206" s="1">
        <f t="shared" si="117"/>
        <v>4.2400060156975042E-3</v>
      </c>
    </row>
    <row r="207" spans="1:11" x14ac:dyDescent="0.25">
      <c r="A207" s="5" t="s">
        <v>5</v>
      </c>
      <c r="B207" s="5" t="str">
        <f t="shared" si="98"/>
        <v>SPS2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6.1746221033554625E-3</v>
      </c>
      <c r="K207" s="1">
        <f>'[1]Electricity and CHPs'!G$96</f>
        <v>4.2400060156975042E-3</v>
      </c>
    </row>
    <row r="208" spans="1:11" x14ac:dyDescent="0.25">
      <c r="A208" s="5" t="s">
        <v>5</v>
      </c>
      <c r="B208" s="5" t="str">
        <f t="shared" si="98"/>
        <v>SPS2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6.783694824640313</v>
      </c>
      <c r="G208" s="1">
        <f t="shared" ref="G208:K208" si="118">SUM(G209,G215,G217,G223,G225,G227,G229)</f>
        <v>12.241950959377865</v>
      </c>
      <c r="H208" s="1">
        <f t="shared" si="118"/>
        <v>10.433096050501355</v>
      </c>
      <c r="I208" s="1">
        <f t="shared" si="118"/>
        <v>14.91501364836115</v>
      </c>
      <c r="J208" s="1">
        <f t="shared" si="118"/>
        <v>20.10070109030389</v>
      </c>
      <c r="K208" s="1">
        <f t="shared" si="118"/>
        <v>20.562955104893636</v>
      </c>
    </row>
    <row r="209" spans="1:11" x14ac:dyDescent="0.25">
      <c r="A209" s="5" t="s">
        <v>5</v>
      </c>
      <c r="B209" s="5" t="str">
        <f t="shared" si="98"/>
        <v>SPS2</v>
      </c>
      <c r="C209" s="5" t="s">
        <v>7</v>
      </c>
      <c r="D209" t="s">
        <v>819</v>
      </c>
      <c r="E209" t="str">
        <f>E168</f>
        <v>PJ/yr.</v>
      </c>
      <c r="F209" s="1">
        <f>+F210</f>
        <v>2.6346759671530227</v>
      </c>
      <c r="G209" s="1">
        <f t="shared" ref="G209:K209" si="119">+G210</f>
        <v>0.44372841151036635</v>
      </c>
      <c r="H209" s="1">
        <f t="shared" si="119"/>
        <v>2.2821575610261537</v>
      </c>
      <c r="I209" s="1">
        <f t="shared" si="119"/>
        <v>2.2745156874121376E-3</v>
      </c>
      <c r="J209" s="1">
        <f t="shared" si="119"/>
        <v>1.2935955333023239</v>
      </c>
      <c r="K209" s="1">
        <f t="shared" si="119"/>
        <v>3.4775115671122964E-4</v>
      </c>
    </row>
    <row r="210" spans="1:11" x14ac:dyDescent="0.25">
      <c r="A210" s="5" t="s">
        <v>5</v>
      </c>
      <c r="B210" s="5" t="str">
        <f t="shared" si="98"/>
        <v>SPS2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2.6346759671530227</v>
      </c>
      <c r="G210" s="1">
        <f>'[1]Electricity and CHPs'!C$97+G214</f>
        <v>0.44372841151036635</v>
      </c>
      <c r="H210" s="1">
        <f>'[1]Electricity and CHPs'!D$97+H214</f>
        <v>2.2821575610261537</v>
      </c>
      <c r="I210" s="1">
        <f>'[1]Electricity and CHPs'!E$97+I214</f>
        <v>2.2745156874121376E-3</v>
      </c>
      <c r="J210" s="1">
        <f>'[1]Electricity and CHPs'!F$97+J214</f>
        <v>1.2935955333023239</v>
      </c>
      <c r="K210" s="1">
        <f>'[1]Electricity and CHPs'!G$97+K214</f>
        <v>3.4775115671122964E-4</v>
      </c>
    </row>
    <row r="211" spans="1:11" x14ac:dyDescent="0.25">
      <c r="A211" s="5"/>
      <c r="B211" s="5" t="str">
        <f t="shared" si="98"/>
        <v>SPS2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1.7329002996617393</v>
      </c>
      <c r="G211" s="1">
        <f t="shared" ref="G211:K211" si="120">G212</f>
        <v>0.44239069244318535</v>
      </c>
      <c r="H211" s="1">
        <f t="shared" si="120"/>
        <v>2.2812944648156734</v>
      </c>
      <c r="I211" s="1">
        <f t="shared" si="120"/>
        <v>1.9337324604571154E-3</v>
      </c>
      <c r="J211" s="1">
        <f t="shared" si="120"/>
        <v>2.0549763988786385E-3</v>
      </c>
      <c r="K211" s="1">
        <f t="shared" si="120"/>
        <v>4.9681359632602223E-5</v>
      </c>
    </row>
    <row r="212" spans="1:11" x14ac:dyDescent="0.25">
      <c r="A212" s="5" t="s">
        <v>5</v>
      </c>
      <c r="B212" s="5" t="str">
        <f t="shared" si="98"/>
        <v>SPS2</v>
      </c>
      <c r="C212" s="5" t="s">
        <v>7</v>
      </c>
      <c r="D212" t="s">
        <v>820</v>
      </c>
      <c r="E212" t="str">
        <f>E169</f>
        <v>PJ/yr.</v>
      </c>
      <c r="F212" s="1">
        <f>F210-F214</f>
        <v>1.7329002996617393</v>
      </c>
      <c r="G212" s="1">
        <f t="shared" ref="G212:K212" si="121">G210-G214</f>
        <v>0.44239069244318535</v>
      </c>
      <c r="H212" s="1">
        <f t="shared" si="121"/>
        <v>2.2812944648156734</v>
      </c>
      <c r="I212" s="1">
        <f t="shared" si="121"/>
        <v>1.9337324604571154E-3</v>
      </c>
      <c r="J212" s="1">
        <f t="shared" si="121"/>
        <v>2.0549763988786385E-3</v>
      </c>
      <c r="K212" s="1">
        <f t="shared" si="121"/>
        <v>4.9681359632602223E-5</v>
      </c>
    </row>
    <row r="213" spans="1:11" x14ac:dyDescent="0.25">
      <c r="A213" s="5"/>
      <c r="B213" s="5" t="str">
        <f t="shared" si="98"/>
        <v>SPS2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0.90177566749128346</v>
      </c>
      <c r="G213" s="1">
        <f t="shared" ref="G213:K213" si="122">G214</f>
        <v>1.337719067181019E-3</v>
      </c>
      <c r="H213" s="1">
        <f t="shared" si="122"/>
        <v>8.6309621048011212E-4</v>
      </c>
      <c r="I213" s="1">
        <f t="shared" si="122"/>
        <v>3.4078322695502221E-4</v>
      </c>
      <c r="J213" s="1">
        <f t="shared" si="122"/>
        <v>1.2915405569034453</v>
      </c>
      <c r="K213" s="1">
        <f t="shared" si="122"/>
        <v>2.9806979707862742E-4</v>
      </c>
    </row>
    <row r="214" spans="1:11" x14ac:dyDescent="0.25">
      <c r="A214" s="5" t="s">
        <v>5</v>
      </c>
      <c r="B214" s="5" t="str">
        <f t="shared" si="98"/>
        <v>SPS2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0.90177566749128346</v>
      </c>
      <c r="G214" s="1">
        <f>'[1]Electricity and CHPs'!C$98</f>
        <v>1.337719067181019E-3</v>
      </c>
      <c r="H214" s="1">
        <f>'[1]Electricity and CHPs'!D$98</f>
        <v>8.6309621048011212E-4</v>
      </c>
      <c r="I214" s="1">
        <f>'[1]Electricity and CHPs'!E$98</f>
        <v>3.4078322695502221E-4</v>
      </c>
      <c r="J214" s="1">
        <f>'[1]Electricity and CHPs'!F$98</f>
        <v>1.2915405569034453</v>
      </c>
      <c r="K214" s="1">
        <f>'[1]Electricity and CHPs'!G$98</f>
        <v>2.9806979707862742E-4</v>
      </c>
    </row>
    <row r="215" spans="1:11" x14ac:dyDescent="0.25">
      <c r="A215" s="5" t="s">
        <v>5</v>
      </c>
      <c r="B215" s="5" t="str">
        <f t="shared" si="98"/>
        <v>SPS2</v>
      </c>
      <c r="C215" s="5" t="s">
        <v>7</v>
      </c>
      <c r="D215" t="s">
        <v>825</v>
      </c>
      <c r="E215" t="str">
        <f>E170</f>
        <v>PJ/yr.</v>
      </c>
      <c r="F215" s="1">
        <f>+F216</f>
        <v>1.4500041383323992</v>
      </c>
      <c r="G215" s="1">
        <f t="shared" ref="G215:K215" si="123">+G216</f>
        <v>3.8015264806984503</v>
      </c>
      <c r="H215" s="1">
        <f t="shared" si="123"/>
        <v>2.4077456509327058</v>
      </c>
      <c r="I215" s="1">
        <f t="shared" si="123"/>
        <v>0.97504687346032592</v>
      </c>
      <c r="J215" s="1">
        <f t="shared" si="123"/>
        <v>0</v>
      </c>
      <c r="K215" s="1">
        <f t="shared" si="123"/>
        <v>0</v>
      </c>
    </row>
    <row r="216" spans="1:11" x14ac:dyDescent="0.25">
      <c r="A216" s="5" t="s">
        <v>5</v>
      </c>
      <c r="B216" s="5" t="str">
        <f t="shared" si="98"/>
        <v>SPS2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1.4500041383323992</v>
      </c>
      <c r="G216" s="1">
        <f>'[1]Electricity and CHPs'!C$99</f>
        <v>3.8015264806984503</v>
      </c>
      <c r="H216" s="1">
        <f>'[1]Electricity and CHPs'!D$99</f>
        <v>2.4077456509327058</v>
      </c>
      <c r="I216" s="1">
        <f>'[1]Electricity and CHPs'!E$99</f>
        <v>0.97504687346032592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tr">
        <f t="shared" si="98"/>
        <v>SPS2</v>
      </c>
      <c r="C217" s="5" t="s">
        <v>7</v>
      </c>
      <c r="D217" t="s">
        <v>826</v>
      </c>
      <c r="E217" t="str">
        <f>E171</f>
        <v>PJ/yr.</v>
      </c>
      <c r="F217" s="1">
        <f>+F218</f>
        <v>0.18407027824645758</v>
      </c>
      <c r="G217" s="1">
        <f t="shared" ref="G217:K217" si="124">+G218</f>
        <v>2.0438462274411058</v>
      </c>
      <c r="H217" s="1">
        <f t="shared" si="124"/>
        <v>2.4555723226400341E-3</v>
      </c>
      <c r="I217" s="1">
        <f t="shared" si="124"/>
        <v>1.377191570777184</v>
      </c>
      <c r="J217" s="1">
        <f t="shared" si="124"/>
        <v>6.3804042544900229E-4</v>
      </c>
      <c r="K217" s="1">
        <f t="shared" si="124"/>
        <v>0</v>
      </c>
    </row>
    <row r="218" spans="1:11" x14ac:dyDescent="0.25">
      <c r="A218" s="5" t="s">
        <v>5</v>
      </c>
      <c r="B218" s="5" t="str">
        <f t="shared" si="98"/>
        <v>SPS2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0.18407027824645758</v>
      </c>
      <c r="G218" s="1">
        <f>'[1]Electricity and CHPs'!C$100</f>
        <v>2.0438462274411058</v>
      </c>
      <c r="H218" s="1">
        <f>'[1]Electricity and CHPs'!D$100</f>
        <v>2.4555723226400341E-3</v>
      </c>
      <c r="I218" s="1">
        <f>'[1]Electricity and CHPs'!E$100</f>
        <v>1.377191570777184</v>
      </c>
      <c r="J218" s="1">
        <f>'[1]Electricity and CHPs'!F$100</f>
        <v>6.3804042544900229E-4</v>
      </c>
      <c r="K218" s="1">
        <f>'[1]Electricity and CHPs'!G$100</f>
        <v>0</v>
      </c>
    </row>
    <row r="219" spans="1:11" x14ac:dyDescent="0.25">
      <c r="A219" s="5"/>
      <c r="B219" s="5" t="str">
        <f t="shared" si="98"/>
        <v>SPS2</v>
      </c>
      <c r="C219" s="5" t="s">
        <v>7</v>
      </c>
      <c r="D219" t="s">
        <v>827</v>
      </c>
      <c r="E219" t="str">
        <f>E171</f>
        <v>PJ/yr.</v>
      </c>
      <c r="F219" s="1">
        <f>F220</f>
        <v>0.18407027824645758</v>
      </c>
      <c r="G219" s="1">
        <f t="shared" ref="G219:K219" si="125">G220</f>
        <v>2.0438462274411058</v>
      </c>
      <c r="H219" s="1">
        <f t="shared" si="125"/>
        <v>2.4555723226400341E-3</v>
      </c>
      <c r="I219" s="1">
        <f t="shared" si="125"/>
        <v>1.377191570777184</v>
      </c>
      <c r="J219" s="1">
        <f t="shared" si="125"/>
        <v>6.3804042544900229E-4</v>
      </c>
      <c r="K219" s="1">
        <f t="shared" si="125"/>
        <v>0</v>
      </c>
    </row>
    <row r="220" spans="1:11" x14ac:dyDescent="0.25">
      <c r="A220" s="5" t="s">
        <v>5</v>
      </c>
      <c r="B220" s="5" t="str">
        <f t="shared" si="98"/>
        <v>SPS2</v>
      </c>
      <c r="C220" s="5" t="s">
        <v>7</v>
      </c>
      <c r="D220" t="s">
        <v>518</v>
      </c>
      <c r="E220" t="str">
        <f>E172</f>
        <v>PJ/yr.</v>
      </c>
      <c r="F220" s="1">
        <f>F218-F222</f>
        <v>0.18407027824645758</v>
      </c>
      <c r="G220" s="1">
        <f t="shared" ref="G220:K220" si="126">G218-G222</f>
        <v>2.0438462274411058</v>
      </c>
      <c r="H220" s="1">
        <f t="shared" si="126"/>
        <v>2.4555723226400341E-3</v>
      </c>
      <c r="I220" s="1">
        <f t="shared" si="126"/>
        <v>1.377191570777184</v>
      </c>
      <c r="J220" s="1">
        <f t="shared" si="126"/>
        <v>6.3804042544900229E-4</v>
      </c>
      <c r="K220" s="1">
        <f t="shared" si="126"/>
        <v>0</v>
      </c>
    </row>
    <row r="221" spans="1:11" x14ac:dyDescent="0.25">
      <c r="A221" s="5"/>
      <c r="B221" s="5" t="str">
        <f t="shared" si="98"/>
        <v>SPS2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27">G222</f>
        <v>0</v>
      </c>
      <c r="H221" s="1">
        <f t="shared" si="127"/>
        <v>0</v>
      </c>
      <c r="I221" s="1">
        <f t="shared" si="127"/>
        <v>0</v>
      </c>
      <c r="J221" s="1">
        <f t="shared" si="127"/>
        <v>0</v>
      </c>
      <c r="K221" s="1">
        <f t="shared" si="127"/>
        <v>0</v>
      </c>
    </row>
    <row r="222" spans="1:11" x14ac:dyDescent="0.25">
      <c r="A222" s="5" t="s">
        <v>5</v>
      </c>
      <c r="B222" s="5" t="str">
        <f t="shared" si="98"/>
        <v>SPS2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tr">
        <f t="shared" si="98"/>
        <v>SPS2</v>
      </c>
      <c r="C223" s="5" t="s">
        <v>7</v>
      </c>
      <c r="D223" t="s">
        <v>829</v>
      </c>
      <c r="E223" t="str">
        <f>E172</f>
        <v>PJ/yr.</v>
      </c>
      <c r="F223" s="1">
        <f>+F224</f>
        <v>2.5149444409084341</v>
      </c>
      <c r="G223" s="1">
        <f t="shared" ref="G223:K223" si="128">+G224</f>
        <v>2.2697375544975698</v>
      </c>
      <c r="H223" s="1">
        <f t="shared" si="128"/>
        <v>1.9460166239327568</v>
      </c>
      <c r="I223" s="1">
        <f t="shared" si="128"/>
        <v>1.5057911814384399</v>
      </c>
      <c r="J223" s="1">
        <f t="shared" si="128"/>
        <v>0.90157431094377727</v>
      </c>
      <c r="K223" s="1">
        <f t="shared" si="128"/>
        <v>0.53980636056573594</v>
      </c>
    </row>
    <row r="224" spans="1:11" x14ac:dyDescent="0.25">
      <c r="A224" s="5" t="s">
        <v>5</v>
      </c>
      <c r="B224" s="5" t="str">
        <f t="shared" si="98"/>
        <v>SPS2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2.5149444409084341</v>
      </c>
      <c r="G224" s="1">
        <f>'[1]Electricity and CHPs'!C$101</f>
        <v>2.2697375544975698</v>
      </c>
      <c r="H224" s="1">
        <f>'[1]Electricity and CHPs'!D$101</f>
        <v>1.9460166239327568</v>
      </c>
      <c r="I224" s="1">
        <f>'[1]Electricity and CHPs'!E$101</f>
        <v>1.5057911814384399</v>
      </c>
      <c r="J224" s="1">
        <f>'[1]Electricity and CHPs'!F$101</f>
        <v>0.90157431094377727</v>
      </c>
      <c r="K224" s="1">
        <f>'[1]Electricity and CHPs'!G$101</f>
        <v>0.53980636056573594</v>
      </c>
    </row>
    <row r="225" spans="1:11" x14ac:dyDescent="0.25">
      <c r="A225" s="5" t="s">
        <v>5</v>
      </c>
      <c r="B225" s="5" t="str">
        <f t="shared" si="98"/>
        <v>SPS2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29">+G226</f>
        <v>0</v>
      </c>
      <c r="H225" s="1">
        <f t="shared" si="129"/>
        <v>0</v>
      </c>
      <c r="I225" s="1">
        <f t="shared" si="129"/>
        <v>2.0002703253408204E-4</v>
      </c>
      <c r="J225" s="1">
        <f t="shared" si="129"/>
        <v>2.0251528751179804E-4</v>
      </c>
      <c r="K225" s="1">
        <f t="shared" si="129"/>
        <v>0.24489838355122867</v>
      </c>
    </row>
    <row r="226" spans="1:11" x14ac:dyDescent="0.25">
      <c r="A226" s="5" t="s">
        <v>5</v>
      </c>
      <c r="B226" s="5" t="str">
        <f t="shared" si="98"/>
        <v>SPS2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2.0002703253408204E-4</v>
      </c>
      <c r="J226" s="1">
        <f>'[1]Electricity and CHPs'!F$102</f>
        <v>2.0251528751179804E-4</v>
      </c>
      <c r="K226" s="1">
        <f>'[1]Electricity and CHPs'!G$102</f>
        <v>0.24489838355122867</v>
      </c>
    </row>
    <row r="227" spans="1:11" x14ac:dyDescent="0.25">
      <c r="A227" s="5" t="s">
        <v>5</v>
      </c>
      <c r="B227" s="5" t="str">
        <f t="shared" si="98"/>
        <v>SPS2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0">+G228</f>
        <v>0</v>
      </c>
      <c r="H227" s="1">
        <f t="shared" si="130"/>
        <v>0</v>
      </c>
      <c r="I227" s="1">
        <f t="shared" si="130"/>
        <v>0</v>
      </c>
      <c r="J227" s="1">
        <f t="shared" si="130"/>
        <v>1.3782775351154508E-4</v>
      </c>
      <c r="K227" s="1">
        <f t="shared" si="130"/>
        <v>1.1450083979739644E-4</v>
      </c>
    </row>
    <row r="228" spans="1:11" x14ac:dyDescent="0.25">
      <c r="A228" s="5" t="s">
        <v>5</v>
      </c>
      <c r="B228" s="5" t="str">
        <f t="shared" si="98"/>
        <v>SPS2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1.3782775351154508E-4</v>
      </c>
      <c r="K228" s="1">
        <f>'[1]Electricity and CHPs'!G$90</f>
        <v>1.1450083979739644E-4</v>
      </c>
    </row>
    <row r="229" spans="1:11" x14ac:dyDescent="0.25">
      <c r="A229" s="5" t="s">
        <v>5</v>
      </c>
      <c r="B229" s="5" t="str">
        <f t="shared" si="98"/>
        <v>SPS2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31">+G230</f>
        <v>3.6831122852303744</v>
      </c>
      <c r="H229" s="1">
        <f t="shared" si="131"/>
        <v>3.7947206422870976</v>
      </c>
      <c r="I229" s="1">
        <f t="shared" si="131"/>
        <v>11.054509479965255</v>
      </c>
      <c r="J229" s="1">
        <f t="shared" si="131"/>
        <v>17.904552862591316</v>
      </c>
      <c r="K229" s="1">
        <f t="shared" si="131"/>
        <v>19.777788108780161</v>
      </c>
    </row>
    <row r="230" spans="1:11" x14ac:dyDescent="0.25">
      <c r="A230" s="5" t="s">
        <v>5</v>
      </c>
      <c r="B230" s="5" t="str">
        <f t="shared" si="98"/>
        <v>SPS2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3.6831122852303744</v>
      </c>
      <c r="H230" s="1">
        <f>'[1]Electricity and CHPs'!D$123</f>
        <v>3.7947206422870976</v>
      </c>
      <c r="I230" s="1">
        <f>'[1]Electricity and CHPs'!E$123</f>
        <v>11.054509479965255</v>
      </c>
      <c r="J230" s="1">
        <f>'[1]Electricity and CHPs'!F$123</f>
        <v>17.904552862591316</v>
      </c>
      <c r="K230" s="1">
        <f>'[1]Electricity and CHPs'!G$123</f>
        <v>19.777788108780161</v>
      </c>
    </row>
    <row r="231" spans="1:11" x14ac:dyDescent="0.25">
      <c r="A231" s="5" t="s">
        <v>5</v>
      </c>
      <c r="B231" s="5" t="str">
        <f t="shared" si="98"/>
        <v>SPS2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6.8010418441750753</v>
      </c>
      <c r="G231" s="1">
        <f t="shared" ref="G231:K231" si="132">SUM(G232,G238,G271,G280,G286)</f>
        <v>7.9712485166381475</v>
      </c>
      <c r="H231" s="1">
        <f t="shared" si="132"/>
        <v>7.5317178509048057</v>
      </c>
      <c r="I231" s="1">
        <f t="shared" si="132"/>
        <v>8.8387678771855605</v>
      </c>
      <c r="J231" s="1">
        <f t="shared" si="132"/>
        <v>9.6096348163252028</v>
      </c>
      <c r="K231" s="1">
        <f t="shared" si="132"/>
        <v>15.455982689724577</v>
      </c>
    </row>
    <row r="232" spans="1:11" x14ac:dyDescent="0.25">
      <c r="A232" s="5" t="s">
        <v>5</v>
      </c>
      <c r="B232" s="5" t="str">
        <f t="shared" si="98"/>
        <v>SPS2</v>
      </c>
      <c r="C232" s="5" t="s">
        <v>7</v>
      </c>
      <c r="D232" t="s">
        <v>835</v>
      </c>
      <c r="E232" t="str">
        <f>E169</f>
        <v>PJ/yr.</v>
      </c>
      <c r="F232" s="1">
        <f>+F233</f>
        <v>0.9293460171680572</v>
      </c>
      <c r="G232" s="1">
        <f t="shared" ref="G232:K232" si="133">+G233</f>
        <v>2.0701600906023936</v>
      </c>
      <c r="H232" s="1">
        <f t="shared" si="133"/>
        <v>3.7064619917571984E-2</v>
      </c>
      <c r="I232" s="1">
        <f t="shared" si="133"/>
        <v>1.3039144077292872</v>
      </c>
      <c r="J232" s="1">
        <f t="shared" si="133"/>
        <v>4.0888413227688894E-2</v>
      </c>
      <c r="K232" s="1">
        <f t="shared" si="133"/>
        <v>1.0059270856719413E-3</v>
      </c>
    </row>
    <row r="233" spans="1:11" x14ac:dyDescent="0.25">
      <c r="A233" s="5" t="s">
        <v>5</v>
      </c>
      <c r="B233" s="5" t="str">
        <f t="shared" si="98"/>
        <v>SPS2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0.9293460171680572</v>
      </c>
      <c r="G233" s="1">
        <f>'[1]Electricity and CHPs'!C$104</f>
        <v>2.0701600906023936</v>
      </c>
      <c r="H233" s="1">
        <f>'[1]Electricity and CHPs'!D$104</f>
        <v>3.7064619917571984E-2</v>
      </c>
      <c r="I233" s="1">
        <f>'[1]Electricity and CHPs'!E$104</f>
        <v>1.3039144077292872</v>
      </c>
      <c r="J233" s="1">
        <f>'[1]Electricity and CHPs'!F$104</f>
        <v>4.0888413227688894E-2</v>
      </c>
      <c r="K233" s="1">
        <f>'[1]Electricity and CHPs'!G$104</f>
        <v>1.0059270856719413E-3</v>
      </c>
    </row>
    <row r="234" spans="1:11" x14ac:dyDescent="0.25">
      <c r="A234" s="5"/>
      <c r="B234" s="5" t="str">
        <f t="shared" si="98"/>
        <v>SPS2</v>
      </c>
      <c r="C234" s="5" t="s">
        <v>7</v>
      </c>
      <c r="D234" t="s">
        <v>836</v>
      </c>
      <c r="E234" t="str">
        <f>E169</f>
        <v>PJ/yr.</v>
      </c>
      <c r="F234" s="1">
        <f>F235</f>
        <v>0.9293460171680572</v>
      </c>
      <c r="G234" s="1">
        <f t="shared" ref="G234:K234" si="134">G235</f>
        <v>2.0701600906023936</v>
      </c>
      <c r="H234" s="1">
        <f t="shared" si="134"/>
        <v>3.7064619917571984E-2</v>
      </c>
      <c r="I234" s="1">
        <f t="shared" si="134"/>
        <v>1.3039144077292872</v>
      </c>
      <c r="J234" s="1">
        <f t="shared" si="134"/>
        <v>4.0888413227688894E-2</v>
      </c>
      <c r="K234" s="1">
        <f t="shared" si="134"/>
        <v>1.0059270856719413E-3</v>
      </c>
    </row>
    <row r="235" spans="1:11" x14ac:dyDescent="0.25">
      <c r="A235" s="5" t="s">
        <v>5</v>
      </c>
      <c r="B235" s="5" t="str">
        <f t="shared" si="98"/>
        <v>SPS2</v>
      </c>
      <c r="C235" s="5" t="s">
        <v>7</v>
      </c>
      <c r="D235" t="s">
        <v>519</v>
      </c>
      <c r="E235" t="str">
        <f>E170</f>
        <v>PJ/yr.</v>
      </c>
      <c r="F235" s="1">
        <f>F233-F237</f>
        <v>0.9293460171680572</v>
      </c>
      <c r="G235" s="1">
        <f t="shared" ref="G235:K235" si="135">G233-G237</f>
        <v>2.0701600906023936</v>
      </c>
      <c r="H235" s="1">
        <f t="shared" si="135"/>
        <v>3.7064619917571984E-2</v>
      </c>
      <c r="I235" s="1">
        <f t="shared" si="135"/>
        <v>1.3039144077292872</v>
      </c>
      <c r="J235" s="1">
        <f t="shared" si="135"/>
        <v>4.0888413227688894E-2</v>
      </c>
      <c r="K235" s="1">
        <f t="shared" si="135"/>
        <v>1.0059270856719413E-3</v>
      </c>
    </row>
    <row r="236" spans="1:11" x14ac:dyDescent="0.25">
      <c r="A236" s="5"/>
      <c r="B236" s="5" t="str">
        <f t="shared" si="98"/>
        <v>SPS2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36">G237</f>
        <v>0</v>
      </c>
      <c r="H236" s="1">
        <f t="shared" si="136"/>
        <v>0</v>
      </c>
      <c r="I236" s="1">
        <f t="shared" si="136"/>
        <v>0</v>
      </c>
      <c r="J236" s="1">
        <f t="shared" si="136"/>
        <v>0</v>
      </c>
      <c r="K236" s="1">
        <f t="shared" si="136"/>
        <v>0</v>
      </c>
    </row>
    <row r="237" spans="1:11" x14ac:dyDescent="0.25">
      <c r="A237" s="5" t="s">
        <v>5</v>
      </c>
      <c r="B237" s="5" t="str">
        <f t="shared" si="98"/>
        <v>SPS2</v>
      </c>
      <c r="C237" s="5" t="s">
        <v>7</v>
      </c>
      <c r="D237" t="s">
        <v>543</v>
      </c>
      <c r="E237" t="str">
        <f>E171</f>
        <v>PJ/yr.</v>
      </c>
      <c r="F237" s="1">
        <f t="shared" ref="F237:K237" si="137">F233*IFERROR(F79/F75,0)</f>
        <v>0</v>
      </c>
      <c r="G237" s="1">
        <f t="shared" si="137"/>
        <v>0</v>
      </c>
      <c r="H237" s="1">
        <f t="shared" si="137"/>
        <v>0</v>
      </c>
      <c r="I237" s="1">
        <f t="shared" si="137"/>
        <v>0</v>
      </c>
      <c r="J237" s="1">
        <f t="shared" si="137"/>
        <v>0</v>
      </c>
      <c r="K237" s="1">
        <f t="shared" si="137"/>
        <v>0</v>
      </c>
    </row>
    <row r="238" spans="1:11" x14ac:dyDescent="0.25">
      <c r="A238" s="5" t="s">
        <v>5</v>
      </c>
      <c r="B238" s="5" t="str">
        <f t="shared" si="98"/>
        <v>SPS2</v>
      </c>
      <c r="C238" s="5" t="s">
        <v>7</v>
      </c>
      <c r="D238" t="s">
        <v>838</v>
      </c>
      <c r="E238" t="str">
        <f>E171</f>
        <v>PJ/yr.</v>
      </c>
      <c r="F238" s="1">
        <f>SUM(F239:F248)</f>
        <v>3.2770976084948784</v>
      </c>
      <c r="G238" s="1">
        <f t="shared" ref="G238:K238" si="138">SUM(G239:G248)</f>
        <v>2.5801208286170283</v>
      </c>
      <c r="H238" s="1">
        <f t="shared" si="138"/>
        <v>1.5790580494000817</v>
      </c>
      <c r="I238" s="1">
        <f t="shared" si="138"/>
        <v>1.7715761663896199</v>
      </c>
      <c r="J238" s="1">
        <f t="shared" si="138"/>
        <v>3.4322561390740867</v>
      </c>
      <c r="K238" s="1">
        <f t="shared" si="138"/>
        <v>2.4569888149713814</v>
      </c>
    </row>
    <row r="239" spans="1:11" x14ac:dyDescent="0.25">
      <c r="A239" s="5" t="s">
        <v>5</v>
      </c>
      <c r="B239" s="5" t="str">
        <f t="shared" si="98"/>
        <v>SPS2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0.7717780267247123</v>
      </c>
      <c r="G239" s="1">
        <f>'[1]Electricity and CHPs_IN'!C$39*0.75-G86-G240</f>
        <v>0.24059059071818856</v>
      </c>
      <c r="H239" s="1">
        <f>'[1]Electricity and CHPs_IN'!D$39*0.75-H86-H240</f>
        <v>5.7328195751816524E-2</v>
      </c>
      <c r="I239" s="1">
        <f>'[1]Electricity and CHPs_IN'!E$39*0.75-I86-I240</f>
        <v>0.43477383918810847</v>
      </c>
      <c r="J239" s="1">
        <f>'[1]Electricity and CHPs'!F$103-J240</f>
        <v>1.9401808606953228</v>
      </c>
      <c r="K239" s="1">
        <f>'[1]Electricity and CHPs'!G$103-K240</f>
        <v>0.91373965400640556</v>
      </c>
    </row>
    <row r="240" spans="1:11" x14ac:dyDescent="0.25">
      <c r="A240" s="5" t="s">
        <v>5</v>
      </c>
      <c r="B240" s="5" t="str">
        <f t="shared" si="98"/>
        <v>SPS2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1.745974147650504E-3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0.52832818487068867</v>
      </c>
    </row>
    <row r="241" spans="1:11" x14ac:dyDescent="0.25">
      <c r="A241" s="5" t="s">
        <v>5</v>
      </c>
      <c r="B241" s="5" t="str">
        <f t="shared" si="98"/>
        <v>SPS2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6.2576601987214379E-4</v>
      </c>
      <c r="J241" s="1">
        <f>'[1]Electricity and CHPs'!F$107</f>
        <v>2.2248826899867046E-3</v>
      </c>
      <c r="K241" s="1">
        <f>'[1]Electricity and CHPs'!G$107</f>
        <v>2.9704773838744227E-4</v>
      </c>
    </row>
    <row r="242" spans="1:11" x14ac:dyDescent="0.25">
      <c r="A242" s="5" t="s">
        <v>5</v>
      </c>
      <c r="B242" s="5" t="str">
        <f t="shared" si="98"/>
        <v>SPS2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0.15216665607641669</v>
      </c>
      <c r="G242" s="1">
        <f>'[1]Electricity and CHPs'!C$109</f>
        <v>5.919516585440425E-3</v>
      </c>
      <c r="H242" s="1">
        <f>'[1]Electricity and CHPs'!D$109</f>
        <v>1.5256348236279143E-2</v>
      </c>
      <c r="I242" s="1">
        <f>'[1]Electricity and CHPs'!E$109</f>
        <v>5.436608668922969E-3</v>
      </c>
      <c r="J242" s="1">
        <f>'[1]Electricity and CHPs'!F$109</f>
        <v>1.1541732390553663E-2</v>
      </c>
      <c r="K242" s="1">
        <f>'[1]Electricity and CHPs'!G$109</f>
        <v>3.8438983511091987E-3</v>
      </c>
    </row>
    <row r="243" spans="1:11" x14ac:dyDescent="0.25">
      <c r="A243" s="5" t="s">
        <v>5</v>
      </c>
      <c r="B243" s="5" t="str">
        <f t="shared" si="98"/>
        <v>SPS2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tr">
        <f t="shared" ref="B244:B307" si="139">B243</f>
        <v>SPS2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0.23626308489338832</v>
      </c>
      <c r="G244" s="1">
        <f>'[1]Electricity and CHPs'!C$112</f>
        <v>4.9877025461867132E-3</v>
      </c>
      <c r="H244" s="1">
        <f>'[1]Electricity and CHPs'!D$112</f>
        <v>1.951930072312584E-2</v>
      </c>
      <c r="I244" s="1">
        <f>'[1]Electricity and CHPs'!E$112</f>
        <v>5.7952369572057353E-3</v>
      </c>
      <c r="J244" s="1">
        <f>'[1]Electricity and CHPs'!F$112</f>
        <v>0.46815150393143962</v>
      </c>
      <c r="K244" s="1">
        <f>'[1]Electricity and CHPs'!G$112</f>
        <v>4.4565726870135353E-3</v>
      </c>
    </row>
    <row r="245" spans="1:11" x14ac:dyDescent="0.25">
      <c r="A245" s="5" t="s">
        <v>5</v>
      </c>
      <c r="B245" s="5" t="str">
        <f t="shared" si="139"/>
        <v>SPS2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tr">
        <f t="shared" si="139"/>
        <v>SPS2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1.4243097261480884</v>
      </c>
      <c r="G246" s="1">
        <f>'[1]Electricity and CHPs'!C$115</f>
        <v>1.578362182741865</v>
      </c>
      <c r="H246" s="1">
        <f>'[1]Electricity and CHPs'!D$115</f>
        <v>1.4829576151177315</v>
      </c>
      <c r="I246" s="1">
        <f>'[1]Electricity and CHPs'!E$115</f>
        <v>1.3239507472379881</v>
      </c>
      <c r="J246" s="1">
        <f>'[1]Electricity and CHPs'!F$115</f>
        <v>1.0059374263525642</v>
      </c>
      <c r="K246" s="1">
        <f>'[1]Electricity and CHPs'!G$115</f>
        <v>1.0059375047624979</v>
      </c>
    </row>
    <row r="247" spans="1:11" x14ac:dyDescent="0.25">
      <c r="A247" s="5" t="s">
        <v>5</v>
      </c>
      <c r="B247" s="5" t="str">
        <f t="shared" si="139"/>
        <v>SPS2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0.69258011465227254</v>
      </c>
      <c r="G247" s="1">
        <f>'[1]Electricity and CHPs'!C$116</f>
        <v>0.75026083602534732</v>
      </c>
      <c r="H247" s="1">
        <f>'[1]Electricity and CHPs'!D$116</f>
        <v>3.996589571128739E-3</v>
      </c>
      <c r="I247" s="1">
        <f>'[1]Electricity and CHPs'!E$116</f>
        <v>9.210448875863449E-4</v>
      </c>
      <c r="J247" s="1">
        <f>'[1]Electricity and CHPs'!F$116</f>
        <v>1.8751047015189153E-3</v>
      </c>
      <c r="K247" s="1">
        <f>'[1]Electricity and CHPs'!G$116</f>
        <v>2.7896658828981477E-4</v>
      </c>
    </row>
    <row r="248" spans="1:11" x14ac:dyDescent="0.25">
      <c r="A248" s="5" t="s">
        <v>5</v>
      </c>
      <c r="B248" s="5" t="str">
        <f t="shared" si="139"/>
        <v>SPS2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7.2923429936237443E-5</v>
      </c>
      <c r="J248" s="1">
        <f>'[1]Electricity and CHPs'!F$118</f>
        <v>5.986541650504E-4</v>
      </c>
      <c r="K248" s="1">
        <f>'[1]Electricity and CHPs'!G$118</f>
        <v>1.0698596698952694E-4</v>
      </c>
    </row>
    <row r="249" spans="1:11" x14ac:dyDescent="0.25">
      <c r="A249" s="5" t="s">
        <v>5</v>
      </c>
      <c r="B249" s="5" t="str">
        <f t="shared" si="139"/>
        <v>SPS2</v>
      </c>
      <c r="C249" s="5" t="s">
        <v>7</v>
      </c>
      <c r="D249" t="s">
        <v>839</v>
      </c>
      <c r="E249" t="str">
        <f>E172</f>
        <v>PJ/yr.</v>
      </c>
      <c r="F249" s="1">
        <f>SUM(F250:F259)</f>
        <v>1.8052873220421319</v>
      </c>
      <c r="G249" s="1">
        <f t="shared" ref="G249:K249" si="140">SUM(G250:G259)</f>
        <v>0.97002653558729202</v>
      </c>
      <c r="H249" s="1">
        <f t="shared" si="140"/>
        <v>9.596036797952065E-2</v>
      </c>
      <c r="I249" s="1">
        <f t="shared" si="140"/>
        <v>0.43086636160621755</v>
      </c>
      <c r="J249" s="1">
        <f t="shared" si="140"/>
        <v>1.9435570304830183</v>
      </c>
      <c r="K249" s="1">
        <f t="shared" si="140"/>
        <v>0.46869772686799882</v>
      </c>
    </row>
    <row r="250" spans="1:11" x14ac:dyDescent="0.25">
      <c r="A250" s="5" t="s">
        <v>5</v>
      </c>
      <c r="B250" s="5" t="str">
        <f t="shared" si="139"/>
        <v>SPS2</v>
      </c>
      <c r="C250" s="5" t="s">
        <v>7</v>
      </c>
      <c r="D250" t="s">
        <v>569</v>
      </c>
      <c r="E250" t="str">
        <f>E172</f>
        <v>PJ/yr.</v>
      </c>
      <c r="F250" s="1">
        <f t="shared" ref="F250:K252" si="141">F239-F261</f>
        <v>0.75199168795947124</v>
      </c>
      <c r="G250" s="1">
        <f t="shared" si="141"/>
        <v>0.23296954627766472</v>
      </c>
      <c r="H250" s="1">
        <f t="shared" si="141"/>
        <v>5.724463995431351E-2</v>
      </c>
      <c r="I250" s="1">
        <f t="shared" si="141"/>
        <v>0.41849594370128856</v>
      </c>
      <c r="J250" s="1">
        <f t="shared" si="141"/>
        <v>1.5541454354046285</v>
      </c>
      <c r="K250" s="1">
        <f t="shared" si="141"/>
        <v>0.29514304268144964</v>
      </c>
    </row>
    <row r="251" spans="1:11" x14ac:dyDescent="0.25">
      <c r="A251" s="5" t="s">
        <v>5</v>
      </c>
      <c r="B251" s="5" t="str">
        <f t="shared" si="139"/>
        <v>SPS2</v>
      </c>
      <c r="C251" s="5" t="s">
        <v>7</v>
      </c>
      <c r="D251" t="s">
        <v>570</v>
      </c>
      <c r="E251" t="str">
        <f>E173</f>
        <v>PJ/yr.</v>
      </c>
      <c r="F251" s="1">
        <f t="shared" si="141"/>
        <v>0</v>
      </c>
      <c r="G251" s="1">
        <f t="shared" si="141"/>
        <v>0</v>
      </c>
      <c r="H251" s="1">
        <f t="shared" si="141"/>
        <v>0</v>
      </c>
      <c r="I251" s="1">
        <f t="shared" si="141"/>
        <v>0</v>
      </c>
      <c r="J251" s="1">
        <f t="shared" si="141"/>
        <v>1.3985797957686548E-3</v>
      </c>
      <c r="K251" s="1">
        <f t="shared" si="141"/>
        <v>0.17065297246693573</v>
      </c>
    </row>
    <row r="252" spans="1:11" x14ac:dyDescent="0.25">
      <c r="A252" s="5" t="s">
        <v>5</v>
      </c>
      <c r="B252" s="5" t="str">
        <f t="shared" si="139"/>
        <v>SPS2</v>
      </c>
      <c r="C252" s="5" t="s">
        <v>7</v>
      </c>
      <c r="D252" t="s">
        <v>571</v>
      </c>
      <c r="E252" t="str">
        <f>E174</f>
        <v>PJ/yr.</v>
      </c>
      <c r="F252" s="1">
        <f t="shared" si="141"/>
        <v>0</v>
      </c>
      <c r="G252" s="1">
        <f t="shared" si="141"/>
        <v>0</v>
      </c>
      <c r="H252" s="1">
        <f t="shared" si="141"/>
        <v>0</v>
      </c>
      <c r="I252" s="1">
        <f t="shared" si="141"/>
        <v>6.0233739341728734E-4</v>
      </c>
      <c r="J252" s="1">
        <f t="shared" si="141"/>
        <v>1.7822004881103731E-3</v>
      </c>
      <c r="K252" s="1">
        <f t="shared" si="141"/>
        <v>9.5948088654034035E-5</v>
      </c>
    </row>
    <row r="253" spans="1:11" x14ac:dyDescent="0.25">
      <c r="A253" s="5" t="s">
        <v>5</v>
      </c>
      <c r="B253" s="5" t="str">
        <f t="shared" si="139"/>
        <v>SPS2</v>
      </c>
      <c r="C253" s="5" t="s">
        <v>7</v>
      </c>
      <c r="D253" t="s">
        <v>572</v>
      </c>
      <c r="E253" t="str">
        <f>E197</f>
        <v>PJ/yr.</v>
      </c>
      <c r="F253" s="1">
        <f>F242-F264</f>
        <v>0.14826550716877121</v>
      </c>
      <c r="G253" s="1">
        <f t="shared" ref="G253:K253" si="142">G242-G264</f>
        <v>5.7320075942143235E-3</v>
      </c>
      <c r="H253" s="1">
        <f t="shared" si="142"/>
        <v>1.5234112121446843E-2</v>
      </c>
      <c r="I253" s="1">
        <f t="shared" si="142"/>
        <v>5.2330625036782416E-3</v>
      </c>
      <c r="J253" s="1">
        <f t="shared" si="142"/>
        <v>9.2452879392966834E-3</v>
      </c>
      <c r="K253" s="1">
        <f t="shared" si="142"/>
        <v>1.2416007668379285E-3</v>
      </c>
    </row>
    <row r="254" spans="1:11" x14ac:dyDescent="0.25">
      <c r="A254" s="5" t="s">
        <v>5</v>
      </c>
      <c r="B254" s="5" t="str">
        <f t="shared" si="139"/>
        <v>SPS2</v>
      </c>
      <c r="C254" s="5" t="s">
        <v>7</v>
      </c>
      <c r="D254" t="s">
        <v>573</v>
      </c>
      <c r="E254" t="str">
        <f>E199</f>
        <v>PJ/yr.</v>
      </c>
      <c r="F254" s="1">
        <f t="shared" ref="F254:K254" si="143">F243-F265</f>
        <v>0</v>
      </c>
      <c r="G254" s="1">
        <f t="shared" si="143"/>
        <v>0</v>
      </c>
      <c r="H254" s="1">
        <f t="shared" si="143"/>
        <v>0</v>
      </c>
      <c r="I254" s="1">
        <f t="shared" si="143"/>
        <v>0</v>
      </c>
      <c r="J254" s="1">
        <f t="shared" si="143"/>
        <v>0</v>
      </c>
      <c r="K254" s="1">
        <f t="shared" si="143"/>
        <v>0</v>
      </c>
    </row>
    <row r="255" spans="1:11" x14ac:dyDescent="0.25">
      <c r="A255" s="5" t="s">
        <v>5</v>
      </c>
      <c r="B255" s="5" t="str">
        <f t="shared" si="139"/>
        <v>SPS2</v>
      </c>
      <c r="C255" s="5" t="s">
        <v>7</v>
      </c>
      <c r="D255" t="s">
        <v>574</v>
      </c>
      <c r="E255" t="str">
        <f>E201</f>
        <v>PJ/yr.</v>
      </c>
      <c r="F255" s="1">
        <f t="shared" ref="F255:K255" si="144">F244-F266</f>
        <v>0.23020592691072275</v>
      </c>
      <c r="G255" s="1">
        <f t="shared" si="144"/>
        <v>4.8297100717215463E-3</v>
      </c>
      <c r="H255" s="1">
        <f t="shared" si="144"/>
        <v>1.9490851358598783E-2</v>
      </c>
      <c r="I255" s="1">
        <f t="shared" si="144"/>
        <v>5.5782637794107928E-3</v>
      </c>
      <c r="J255" s="1">
        <f t="shared" si="144"/>
        <v>0.37500396878057546</v>
      </c>
      <c r="K255" s="1">
        <f t="shared" si="144"/>
        <v>1.4394980200421485E-3</v>
      </c>
    </row>
    <row r="256" spans="1:11" x14ac:dyDescent="0.25">
      <c r="A256" s="5" t="s">
        <v>5</v>
      </c>
      <c r="B256" s="5" t="str">
        <f t="shared" si="139"/>
        <v>SPS2</v>
      </c>
      <c r="C256" s="5" t="s">
        <v>7</v>
      </c>
      <c r="D256" t="s">
        <v>575</v>
      </c>
      <c r="E256" t="str">
        <f>E202</f>
        <v>PJ/yr.</v>
      </c>
      <c r="F256" s="1">
        <f t="shared" ref="F256:K257" si="145">F245-F267</f>
        <v>0</v>
      </c>
      <c r="G256" s="1">
        <f t="shared" si="145"/>
        <v>0</v>
      </c>
      <c r="H256" s="1">
        <f t="shared" si="145"/>
        <v>0</v>
      </c>
      <c r="I256" s="1">
        <f t="shared" si="145"/>
        <v>0</v>
      </c>
      <c r="J256" s="1">
        <f t="shared" si="145"/>
        <v>0</v>
      </c>
      <c r="K256" s="1">
        <f t="shared" si="145"/>
        <v>0</v>
      </c>
    </row>
    <row r="257" spans="1:18" x14ac:dyDescent="0.25">
      <c r="A257" s="5" t="s">
        <v>5</v>
      </c>
      <c r="B257" s="5" t="str">
        <f t="shared" si="139"/>
        <v>SPS2</v>
      </c>
      <c r="C257" s="5" t="s">
        <v>7</v>
      </c>
      <c r="D257" t="s">
        <v>576</v>
      </c>
      <c r="E257" t="str">
        <f>E239</f>
        <v>PJ/yr.</v>
      </c>
      <c r="F257" s="1">
        <f t="shared" si="145"/>
        <v>0</v>
      </c>
      <c r="G257" s="1">
        <f t="shared" ref="G257:K257" si="146">G246-G268</f>
        <v>0</v>
      </c>
      <c r="H257" s="1">
        <f t="shared" si="146"/>
        <v>0</v>
      </c>
      <c r="I257" s="1">
        <f t="shared" si="146"/>
        <v>0</v>
      </c>
      <c r="J257" s="1">
        <f t="shared" si="146"/>
        <v>0</v>
      </c>
      <c r="K257" s="1">
        <f t="shared" si="146"/>
        <v>0</v>
      </c>
    </row>
    <row r="258" spans="1:18" x14ac:dyDescent="0.25">
      <c r="A258" s="5" t="s">
        <v>5</v>
      </c>
      <c r="B258" s="5" t="str">
        <f t="shared" si="139"/>
        <v>SPS2</v>
      </c>
      <c r="C258" s="5" t="s">
        <v>7</v>
      </c>
      <c r="D258" t="s">
        <v>577</v>
      </c>
      <c r="E258" t="str">
        <f>E241</f>
        <v>PJ/yr.</v>
      </c>
      <c r="F258" s="1">
        <f t="shared" ref="F258:K258" si="147">F247-F269</f>
        <v>0.67482420000316667</v>
      </c>
      <c r="G258" s="1">
        <f t="shared" si="147"/>
        <v>0.72649527164369143</v>
      </c>
      <c r="H258" s="1">
        <f t="shared" si="147"/>
        <v>3.9907645451615244E-3</v>
      </c>
      <c r="I258" s="1">
        <f t="shared" si="147"/>
        <v>8.865610454885834E-4</v>
      </c>
      <c r="J258" s="1">
        <f t="shared" si="147"/>
        <v>1.502017400443273E-3</v>
      </c>
      <c r="K258" s="1">
        <f t="shared" si="147"/>
        <v>9.0107775571861097E-5</v>
      </c>
    </row>
    <row r="259" spans="1:18" x14ac:dyDescent="0.25">
      <c r="A259" s="5" t="s">
        <v>5</v>
      </c>
      <c r="B259" s="5" t="str">
        <f t="shared" si="139"/>
        <v>SPS2</v>
      </c>
      <c r="C259" s="5" t="s">
        <v>7</v>
      </c>
      <c r="D259" t="s">
        <v>578</v>
      </c>
      <c r="E259" t="str">
        <f>E243</f>
        <v>PJ/yr.</v>
      </c>
      <c r="F259" s="1">
        <f t="shared" ref="F259:K259" si="148">F248-F270</f>
        <v>0</v>
      </c>
      <c r="G259" s="1">
        <f t="shared" si="148"/>
        <v>0</v>
      </c>
      <c r="H259" s="1">
        <f t="shared" si="148"/>
        <v>0</v>
      </c>
      <c r="I259" s="1">
        <f t="shared" si="148"/>
        <v>7.0193182934119808E-5</v>
      </c>
      <c r="J259" s="1">
        <f t="shared" si="148"/>
        <v>4.7954067419550398E-4</v>
      </c>
      <c r="K259" s="1">
        <f t="shared" si="148"/>
        <v>3.4557068507486225E-5</v>
      </c>
    </row>
    <row r="260" spans="1:18" x14ac:dyDescent="0.25">
      <c r="A260" s="5" t="s">
        <v>5</v>
      </c>
      <c r="B260" s="5" t="str">
        <f t="shared" si="139"/>
        <v>SPS2</v>
      </c>
      <c r="C260" s="5" t="s">
        <v>7</v>
      </c>
      <c r="D260" t="s">
        <v>840</v>
      </c>
      <c r="E260" t="str">
        <f>E173</f>
        <v>PJ/yr.</v>
      </c>
      <c r="F260" s="1">
        <f>SUM(F261:F270)</f>
        <v>1.4718102864527463</v>
      </c>
      <c r="G260" s="1">
        <f t="shared" ref="G260:K260" si="149">SUM(G261:G270)</f>
        <v>1.6100942930297359</v>
      </c>
      <c r="H260" s="1">
        <f t="shared" si="149"/>
        <v>1.483097681420561</v>
      </c>
      <c r="I260" s="1">
        <f t="shared" si="149"/>
        <v>1.3407098047834023</v>
      </c>
      <c r="J260" s="1">
        <f t="shared" si="149"/>
        <v>1.4886991085910684</v>
      </c>
      <c r="K260" s="1">
        <f t="shared" si="149"/>
        <v>1.9882910881033828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tr">
        <f t="shared" si="139"/>
        <v>SPS2</v>
      </c>
      <c r="C261" s="5" t="s">
        <v>7</v>
      </c>
      <c r="D261" t="s">
        <v>630</v>
      </c>
      <c r="E261" t="str">
        <f>E175</f>
        <v>PJ/yr.</v>
      </c>
      <c r="F261" s="1">
        <f t="shared" ref="F261:K270" si="150">F239*IFERROR(F118/F86,0)</f>
        <v>1.9786338765241003E-2</v>
      </c>
      <c r="G261" s="1">
        <f t="shared" si="150"/>
        <v>7.6210444405238201E-3</v>
      </c>
      <c r="H261" s="1">
        <f t="shared" si="150"/>
        <v>8.3555797503010647E-5</v>
      </c>
      <c r="I261" s="1">
        <f t="shared" si="150"/>
        <v>1.6277895486819897E-2</v>
      </c>
      <c r="J261" s="1">
        <f t="shared" si="150"/>
        <v>0.38603542529069429</v>
      </c>
      <c r="K261" s="1">
        <f t="shared" si="150"/>
        <v>0.61859661132495591</v>
      </c>
    </row>
    <row r="262" spans="1:18" x14ac:dyDescent="0.25">
      <c r="A262" s="5" t="s">
        <v>5</v>
      </c>
      <c r="B262" s="5" t="str">
        <f t="shared" si="139"/>
        <v>SPS2</v>
      </c>
      <c r="C262" s="5" t="s">
        <v>7</v>
      </c>
      <c r="D262" t="s">
        <v>631</v>
      </c>
      <c r="E262" t="str">
        <f>E176</f>
        <v>PJ/yr.</v>
      </c>
      <c r="F262" s="1">
        <f t="shared" si="150"/>
        <v>0</v>
      </c>
      <c r="G262" s="1">
        <f t="shared" si="150"/>
        <v>0</v>
      </c>
      <c r="H262" s="1">
        <f t="shared" si="150"/>
        <v>0</v>
      </c>
      <c r="I262" s="1">
        <f t="shared" si="150"/>
        <v>0</v>
      </c>
      <c r="J262" s="1">
        <f t="shared" si="150"/>
        <v>3.4739435188184913E-4</v>
      </c>
      <c r="K262" s="1">
        <f t="shared" si="150"/>
        <v>0.35767521240375294</v>
      </c>
    </row>
    <row r="263" spans="1:18" x14ac:dyDescent="0.25">
      <c r="A263" s="5" t="s">
        <v>5</v>
      </c>
      <c r="B263" s="5" t="str">
        <f t="shared" si="139"/>
        <v>SPS2</v>
      </c>
      <c r="C263" s="5" t="s">
        <v>7</v>
      </c>
      <c r="D263" t="s">
        <v>632</v>
      </c>
      <c r="E263" t="str">
        <f>E177</f>
        <v>PJ/yr.</v>
      </c>
      <c r="F263" s="1">
        <f t="shared" si="150"/>
        <v>0</v>
      </c>
      <c r="G263" s="1">
        <f t="shared" si="150"/>
        <v>0</v>
      </c>
      <c r="H263" s="1">
        <f t="shared" si="150"/>
        <v>0</v>
      </c>
      <c r="I263" s="1">
        <f t="shared" si="150"/>
        <v>2.3428626454856444E-5</v>
      </c>
      <c r="J263" s="1">
        <f t="shared" si="150"/>
        <v>4.4268220187633153E-4</v>
      </c>
      <c r="K263" s="1">
        <f t="shared" si="150"/>
        <v>2.0109964973340824E-4</v>
      </c>
    </row>
    <row r="264" spans="1:18" x14ac:dyDescent="0.25">
      <c r="A264" s="5" t="s">
        <v>5</v>
      </c>
      <c r="B264" s="5" t="str">
        <f t="shared" si="139"/>
        <v>SPS2</v>
      </c>
      <c r="C264" s="5" t="s">
        <v>7</v>
      </c>
      <c r="D264" t="s">
        <v>633</v>
      </c>
      <c r="E264" t="str">
        <f>E203</f>
        <v>PJ/yr.</v>
      </c>
      <c r="F264" s="1">
        <f t="shared" si="150"/>
        <v>3.9011489076454849E-3</v>
      </c>
      <c r="G264" s="1">
        <f t="shared" si="150"/>
        <v>1.8750899122610111E-4</v>
      </c>
      <c r="H264" s="1">
        <f t="shared" si="150"/>
        <v>2.2236114832299799E-5</v>
      </c>
      <c r="I264" s="1">
        <f t="shared" si="150"/>
        <v>2.0354616524472709E-4</v>
      </c>
      <c r="J264" s="1">
        <f t="shared" si="150"/>
        <v>2.2964444512569796E-3</v>
      </c>
      <c r="K264" s="1">
        <f t="shared" si="150"/>
        <v>2.6022975842712702E-3</v>
      </c>
    </row>
    <row r="265" spans="1:18" x14ac:dyDescent="0.25">
      <c r="A265" s="5" t="s">
        <v>5</v>
      </c>
      <c r="B265" s="5" t="str">
        <f t="shared" si="139"/>
        <v>SPS2</v>
      </c>
      <c r="C265" s="5" t="s">
        <v>7</v>
      </c>
      <c r="D265" t="s">
        <v>634</v>
      </c>
      <c r="E265" t="str">
        <f>E205</f>
        <v>PJ/yr.</v>
      </c>
      <c r="F265" s="1">
        <f t="shared" si="150"/>
        <v>0</v>
      </c>
      <c r="G265" s="1">
        <f t="shared" si="150"/>
        <v>0</v>
      </c>
      <c r="H265" s="1">
        <f t="shared" si="150"/>
        <v>0</v>
      </c>
      <c r="I265" s="1">
        <f t="shared" si="150"/>
        <v>0</v>
      </c>
      <c r="J265" s="1">
        <f t="shared" si="150"/>
        <v>0</v>
      </c>
      <c r="K265" s="1">
        <f t="shared" si="150"/>
        <v>0</v>
      </c>
    </row>
    <row r="266" spans="1:18" x14ac:dyDescent="0.25">
      <c r="A266" s="5" t="s">
        <v>5</v>
      </c>
      <c r="B266" s="5" t="str">
        <f t="shared" si="139"/>
        <v>SPS2</v>
      </c>
      <c r="C266" s="5" t="s">
        <v>7</v>
      </c>
      <c r="D266" t="s">
        <v>635</v>
      </c>
      <c r="E266" t="str">
        <f>E207</f>
        <v>PJ/yr.</v>
      </c>
      <c r="F266" s="1">
        <f t="shared" si="150"/>
        <v>6.0571579826655736E-3</v>
      </c>
      <c r="G266" s="1">
        <f t="shared" si="150"/>
        <v>1.5799247446516659E-4</v>
      </c>
      <c r="H266" s="1">
        <f t="shared" si="150"/>
        <v>2.8449364527056359E-5</v>
      </c>
      <c r="I266" s="1">
        <f t="shared" si="150"/>
        <v>2.1697317779494231E-4</v>
      </c>
      <c r="J266" s="1">
        <f t="shared" si="150"/>
        <v>9.3147535150864144E-2</v>
      </c>
      <c r="K266" s="1">
        <f t="shared" si="150"/>
        <v>3.0170746669713868E-3</v>
      </c>
    </row>
    <row r="267" spans="1:18" x14ac:dyDescent="0.25">
      <c r="A267" s="5" t="s">
        <v>5</v>
      </c>
      <c r="B267" s="5" t="str">
        <f t="shared" si="139"/>
        <v>SPS2</v>
      </c>
      <c r="C267" s="5" t="s">
        <v>7</v>
      </c>
      <c r="D267" t="s">
        <v>636</v>
      </c>
      <c r="E267" t="str">
        <f>E208</f>
        <v>PJ/yr.</v>
      </c>
      <c r="F267" s="1">
        <f t="shared" si="150"/>
        <v>0</v>
      </c>
      <c r="G267" s="1">
        <f t="shared" si="150"/>
        <v>0</v>
      </c>
      <c r="H267" s="1">
        <f t="shared" si="150"/>
        <v>0</v>
      </c>
      <c r="I267" s="1">
        <f t="shared" si="150"/>
        <v>0</v>
      </c>
      <c r="J267" s="1">
        <f t="shared" si="150"/>
        <v>0</v>
      </c>
      <c r="K267" s="1">
        <f t="shared" si="150"/>
        <v>0</v>
      </c>
    </row>
    <row r="268" spans="1:18" x14ac:dyDescent="0.25">
      <c r="A268" s="5" t="s">
        <v>5</v>
      </c>
      <c r="B268" s="5" t="str">
        <f t="shared" si="139"/>
        <v>SPS2</v>
      </c>
      <c r="C268" s="5" t="s">
        <v>7</v>
      </c>
      <c r="D268" t="s">
        <v>637</v>
      </c>
      <c r="E268" t="str">
        <f>E231</f>
        <v>PJ/yr.</v>
      </c>
      <c r="F268" s="1">
        <f t="shared" si="150"/>
        <v>1.4243097261480884</v>
      </c>
      <c r="G268" s="1">
        <f t="shared" si="150"/>
        <v>1.578362182741865</v>
      </c>
      <c r="H268" s="1">
        <f t="shared" si="150"/>
        <v>1.4829576151177315</v>
      </c>
      <c r="I268" s="1">
        <f t="shared" si="150"/>
        <v>1.3239507472379881</v>
      </c>
      <c r="J268" s="1">
        <f t="shared" si="150"/>
        <v>1.0059374263525642</v>
      </c>
      <c r="K268" s="1">
        <f t="shared" si="150"/>
        <v>1.0059375047624979</v>
      </c>
    </row>
    <row r="269" spans="1:18" x14ac:dyDescent="0.25">
      <c r="A269" s="5" t="s">
        <v>5</v>
      </c>
      <c r="B269" s="5" t="str">
        <f t="shared" si="139"/>
        <v>SPS2</v>
      </c>
      <c r="C269" s="5" t="s">
        <v>7</v>
      </c>
      <c r="D269" t="s">
        <v>638</v>
      </c>
      <c r="E269" t="str">
        <f>E233</f>
        <v>PJ/yr.</v>
      </c>
      <c r="F269" s="1">
        <f t="shared" si="150"/>
        <v>1.7755914649105843E-2</v>
      </c>
      <c r="G269" s="1">
        <f t="shared" si="150"/>
        <v>2.376556438165587E-2</v>
      </c>
      <c r="H269" s="1">
        <f t="shared" si="150"/>
        <v>5.8250259672143222E-6</v>
      </c>
      <c r="I269" s="1">
        <f t="shared" si="150"/>
        <v>3.4483842097761546E-5</v>
      </c>
      <c r="J269" s="1">
        <f t="shared" si="150"/>
        <v>3.7308730107564236E-4</v>
      </c>
      <c r="K269" s="1">
        <f t="shared" si="150"/>
        <v>1.8885881271795367E-4</v>
      </c>
    </row>
    <row r="270" spans="1:18" x14ac:dyDescent="0.25">
      <c r="A270" s="5" t="s">
        <v>5</v>
      </c>
      <c r="B270" s="5" t="str">
        <f t="shared" si="139"/>
        <v>SPS2</v>
      </c>
      <c r="C270" s="5" t="s">
        <v>7</v>
      </c>
      <c r="D270" t="s">
        <v>639</v>
      </c>
      <c r="E270" t="str">
        <f>E237</f>
        <v>PJ/yr.</v>
      </c>
      <c r="F270" s="1">
        <f t="shared" si="150"/>
        <v>0</v>
      </c>
      <c r="G270" s="1">
        <f t="shared" si="150"/>
        <v>0</v>
      </c>
      <c r="H270" s="1">
        <f t="shared" si="150"/>
        <v>0</v>
      </c>
      <c r="I270" s="1">
        <f t="shared" si="150"/>
        <v>2.7302470021176319E-6</v>
      </c>
      <c r="J270" s="1">
        <f t="shared" si="150"/>
        <v>1.1911349085489605E-4</v>
      </c>
      <c r="K270" s="1">
        <f t="shared" si="150"/>
        <v>7.2428898482040712E-5</v>
      </c>
    </row>
    <row r="271" spans="1:18" x14ac:dyDescent="0.25">
      <c r="A271" s="5" t="s">
        <v>5</v>
      </c>
      <c r="B271" s="5" t="str">
        <f t="shared" si="139"/>
        <v>SPS2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1.9347926093408205</v>
      </c>
      <c r="G271" s="1">
        <f t="shared" ref="G271:K271" si="151">SUM(G272:G273)</f>
        <v>1.9372794729880576</v>
      </c>
      <c r="H271" s="1">
        <f t="shared" si="151"/>
        <v>2.550289323613431</v>
      </c>
      <c r="I271" s="1">
        <f t="shared" si="151"/>
        <v>2.4032644078449863</v>
      </c>
      <c r="J271" s="1">
        <f t="shared" si="151"/>
        <v>1.5626183677201637</v>
      </c>
      <c r="K271" s="1">
        <f t="shared" si="151"/>
        <v>2.2158916143456606</v>
      </c>
    </row>
    <row r="272" spans="1:18" x14ac:dyDescent="0.25">
      <c r="A272" s="5" t="s">
        <v>5</v>
      </c>
      <c r="B272" s="5" t="str">
        <f t="shared" si="139"/>
        <v>SPS2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1.9347926093408205</v>
      </c>
      <c r="G272" s="1">
        <f>'[1]Electricity and CHPs'!C$106-G273</f>
        <v>1.9372794729880576</v>
      </c>
      <c r="H272" s="1">
        <f>'[1]Electricity and CHPs'!D$106-H273</f>
        <v>2.550289323613431</v>
      </c>
      <c r="I272" s="1">
        <f>'[1]Electricity and CHPs'!E$106-I273</f>
        <v>2.4032644078449863</v>
      </c>
      <c r="J272" s="1">
        <f>'[1]Electricity and CHPs'!F$106-J273</f>
        <v>0.68447770864401491</v>
      </c>
      <c r="K272" s="1">
        <f>'[1]Electricity and CHPs'!G$106-K273</f>
        <v>1.5279966494663455E-4</v>
      </c>
    </row>
    <row r="273" spans="1:11" x14ac:dyDescent="0.25">
      <c r="A273" s="5" t="s">
        <v>5</v>
      </c>
      <c r="B273" s="5" t="str">
        <f t="shared" si="139"/>
        <v>SPS2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0.8781406590761488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2.215738814680714</v>
      </c>
    </row>
    <row r="274" spans="1:11" x14ac:dyDescent="0.25">
      <c r="A274" s="5" t="s">
        <v>5</v>
      </c>
      <c r="B274" s="5" t="str">
        <f t="shared" si="139"/>
        <v>SPS2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52">SUM(G275:G276)</f>
        <v>0</v>
      </c>
      <c r="H274" s="10">
        <f t="shared" si="152"/>
        <v>0</v>
      </c>
      <c r="I274" s="10">
        <f t="shared" si="152"/>
        <v>0</v>
      </c>
      <c r="J274" s="10">
        <f t="shared" si="152"/>
        <v>0</v>
      </c>
      <c r="K274" s="10">
        <f t="shared" si="152"/>
        <v>0</v>
      </c>
    </row>
    <row r="275" spans="1:11" x14ac:dyDescent="0.25">
      <c r="A275" s="5" t="s">
        <v>5</v>
      </c>
      <c r="B275" s="5" t="str">
        <f t="shared" si="139"/>
        <v>SPS2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tr">
        <f t="shared" si="139"/>
        <v>SPS2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tr">
        <f t="shared" si="139"/>
        <v>SPS2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1.9347926093408205</v>
      </c>
      <c r="G277" s="1">
        <f t="shared" ref="G277:K277" si="153">SUM(G278:G279)</f>
        <v>1.9372794729880576</v>
      </c>
      <c r="H277" s="1">
        <f t="shared" si="153"/>
        <v>2.550289323613431</v>
      </c>
      <c r="I277" s="1">
        <f t="shared" si="153"/>
        <v>2.4032644078449863</v>
      </c>
      <c r="J277" s="1">
        <f t="shared" si="153"/>
        <v>1.5626183677201637</v>
      </c>
      <c r="K277" s="1">
        <f t="shared" si="153"/>
        <v>2.2158916143456606</v>
      </c>
    </row>
    <row r="278" spans="1:11" x14ac:dyDescent="0.25">
      <c r="A278" s="5" t="s">
        <v>5</v>
      </c>
      <c r="B278" s="5" t="str">
        <f t="shared" si="139"/>
        <v>SPS2</v>
      </c>
      <c r="C278" s="5" t="s">
        <v>7</v>
      </c>
      <c r="D278" t="s">
        <v>183</v>
      </c>
      <c r="E278" t="str">
        <f>E183</f>
        <v>PJ/yr.</v>
      </c>
      <c r="F278" s="1">
        <f>F272</f>
        <v>1.9347926093408205</v>
      </c>
      <c r="G278" s="1">
        <f t="shared" ref="G278:K278" si="154">G272</f>
        <v>1.9372794729880576</v>
      </c>
      <c r="H278" s="1">
        <f t="shared" si="154"/>
        <v>2.550289323613431</v>
      </c>
      <c r="I278" s="1">
        <f t="shared" si="154"/>
        <v>2.4032644078449863</v>
      </c>
      <c r="J278" s="1">
        <f t="shared" si="154"/>
        <v>0.68447770864401491</v>
      </c>
      <c r="K278" s="1">
        <f t="shared" si="154"/>
        <v>1.5279966494663455E-4</v>
      </c>
    </row>
    <row r="279" spans="1:11" x14ac:dyDescent="0.25">
      <c r="A279" s="5" t="s">
        <v>5</v>
      </c>
      <c r="B279" s="5" t="str">
        <f t="shared" si="139"/>
        <v>SPS2</v>
      </c>
      <c r="C279" s="5" t="s">
        <v>7</v>
      </c>
      <c r="D279" t="s">
        <v>184</v>
      </c>
      <c r="E279" t="str">
        <f>E185</f>
        <v>PJ/yr.</v>
      </c>
      <c r="F279" s="1">
        <f t="shared" ref="F279:K279" si="155">F273</f>
        <v>0</v>
      </c>
      <c r="G279" s="1">
        <f t="shared" si="155"/>
        <v>0</v>
      </c>
      <c r="H279" s="1">
        <f t="shared" si="155"/>
        <v>0</v>
      </c>
      <c r="I279" s="1">
        <f t="shared" si="155"/>
        <v>0</v>
      </c>
      <c r="J279" s="1">
        <f t="shared" si="155"/>
        <v>0.8781406590761488</v>
      </c>
      <c r="K279" s="1">
        <f t="shared" si="155"/>
        <v>2.215738814680714</v>
      </c>
    </row>
    <row r="280" spans="1:11" x14ac:dyDescent="0.25">
      <c r="A280" s="5" t="s">
        <v>5</v>
      </c>
      <c r="B280" s="5" t="str">
        <f t="shared" si="139"/>
        <v>SPS2</v>
      </c>
      <c r="C280" s="5" t="s">
        <v>7</v>
      </c>
      <c r="D280" t="s">
        <v>844</v>
      </c>
      <c r="E280" t="str">
        <f>E186</f>
        <v>PJ/yr.</v>
      </c>
      <c r="F280" s="1">
        <f>SUM(F281:F285)</f>
        <v>0.65980560917131892</v>
      </c>
      <c r="G280" s="1">
        <f t="shared" ref="G280:K280" si="156">SUM(G281:G285)</f>
        <v>1.3836881244306678</v>
      </c>
      <c r="H280" s="1">
        <f t="shared" si="156"/>
        <v>3.3653058579737207</v>
      </c>
      <c r="I280" s="1">
        <f t="shared" si="156"/>
        <v>2.6811733109509714</v>
      </c>
      <c r="J280" s="1">
        <f t="shared" si="156"/>
        <v>4.2236596585145962</v>
      </c>
      <c r="K280" s="1">
        <f t="shared" si="156"/>
        <v>10.616561833744854</v>
      </c>
    </row>
    <row r="281" spans="1:11" x14ac:dyDescent="0.25">
      <c r="A281" s="5" t="s">
        <v>5</v>
      </c>
      <c r="B281" s="5" t="str">
        <f t="shared" si="139"/>
        <v>SPS2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0.65953792945737721</v>
      </c>
      <c r="G281" s="1">
        <f>'[1]Electricity and CHPs'!C$105-G282</f>
        <v>1.3833807964653162</v>
      </c>
      <c r="H281" s="1">
        <f>'[1]Electricity and CHPs'!D$105-H282</f>
        <v>3.365176699869934</v>
      </c>
      <c r="I281" s="1">
        <f>'[1]Electricity and CHPs'!E$105-I282</f>
        <v>2.6661378601675492</v>
      </c>
      <c r="J281" s="1">
        <f>'[1]Electricity and CHPs'!F$105-J282</f>
        <v>2.0812137060106384</v>
      </c>
      <c r="K281" s="1">
        <f>'[1]Electricity and CHPs'!G$105-K282</f>
        <v>1.3483135911265265E-3</v>
      </c>
    </row>
    <row r="282" spans="1:11" x14ac:dyDescent="0.25">
      <c r="A282" s="5" t="s">
        <v>5</v>
      </c>
      <c r="B282" s="5" t="str">
        <f t="shared" si="139"/>
        <v>SPS2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2.1156996678374815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10.604167137916699</v>
      </c>
    </row>
    <row r="283" spans="1:11" x14ac:dyDescent="0.25">
      <c r="A283" s="5" t="s">
        <v>5</v>
      </c>
      <c r="B283" s="5" t="str">
        <f t="shared" si="139"/>
        <v>SPS2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1.2587459941446275E-4</v>
      </c>
      <c r="G283" s="1">
        <f>'[1]Electricity and CHPs'!C$110</f>
        <v>1.5366190314008348E-4</v>
      </c>
      <c r="H283" s="1">
        <f>'[1]Electricity and CHPs'!D$110</f>
        <v>6.4417331085198418E-5</v>
      </c>
      <c r="I283" s="1">
        <f>'[1]Electricity and CHPs'!E$110</f>
        <v>5.3190025060965819E-3</v>
      </c>
      <c r="J283" s="1">
        <f>'[1]Electricity and CHPs'!F$110</f>
        <v>8.4447121730702526E-3</v>
      </c>
      <c r="K283" s="1">
        <f>'[1]Electricity and CHPs'!G$110</f>
        <v>4.5590012553888594E-3</v>
      </c>
    </row>
    <row r="284" spans="1:11" x14ac:dyDescent="0.25">
      <c r="A284" s="5" t="s">
        <v>5</v>
      </c>
      <c r="B284" s="5" t="str">
        <f t="shared" si="139"/>
        <v>SPS2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1.4180511452723768E-4</v>
      </c>
      <c r="G284" s="1">
        <f>'[1]Electricity and CHPs'!C$113</f>
        <v>1.5366606221155389E-4</v>
      </c>
      <c r="H284" s="1">
        <f>'[1]Electricity and CHPs'!D$113</f>
        <v>6.4740772701417696E-5</v>
      </c>
      <c r="I284" s="1">
        <f>'[1]Electricity and CHPs'!E$113</f>
        <v>8.42061075404427E-3</v>
      </c>
      <c r="J284" s="1">
        <f>'[1]Electricity and CHPs'!F$113</f>
        <v>1.6558743110368836E-2</v>
      </c>
      <c r="K284" s="1">
        <f>'[1]Electricity and CHPs'!G$113</f>
        <v>6.0603692499949973E-3</v>
      </c>
    </row>
    <row r="285" spans="1:11" x14ac:dyDescent="0.25">
      <c r="A285" s="5" t="s">
        <v>5</v>
      </c>
      <c r="B285" s="5" t="str">
        <f t="shared" si="139"/>
        <v>SPS2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1.2958375232812503E-3</v>
      </c>
      <c r="J285" s="1">
        <f>'[1]Electricity and CHPs'!F$117</f>
        <v>1.7428293830367364E-3</v>
      </c>
      <c r="K285" s="1">
        <f>'[1]Electricity and CHPs'!G$117</f>
        <v>4.2701173164324288E-4</v>
      </c>
    </row>
    <row r="286" spans="1:11" x14ac:dyDescent="0.25">
      <c r="A286" s="5" t="s">
        <v>5</v>
      </c>
      <c r="B286" s="5" t="str">
        <f t="shared" si="139"/>
        <v>SPS2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57">SUM(G287:G288)</f>
        <v>0</v>
      </c>
      <c r="H286" s="1">
        <f t="shared" si="157"/>
        <v>0</v>
      </c>
      <c r="I286" s="1">
        <f t="shared" si="157"/>
        <v>0.67883958427069568</v>
      </c>
      <c r="J286" s="1">
        <f t="shared" si="157"/>
        <v>0.35021223778866528</v>
      </c>
      <c r="K286" s="1">
        <f t="shared" si="157"/>
        <v>0.16553449957700772</v>
      </c>
    </row>
    <row r="287" spans="1:11" x14ac:dyDescent="0.25">
      <c r="A287" s="5" t="s">
        <v>5</v>
      </c>
      <c r="B287" s="5" t="str">
        <f t="shared" si="139"/>
        <v>SPS2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0.67790625238061841</v>
      </c>
      <c r="J287" s="1">
        <f>'[1]Electricity and CHPs'!F$108</f>
        <v>0.34938203165887655</v>
      </c>
      <c r="K287" s="1">
        <f>'[1]Electricity and CHPs'!G$108</f>
        <v>0.16505756724101761</v>
      </c>
    </row>
    <row r="288" spans="1:11" x14ac:dyDescent="0.25">
      <c r="A288" s="5" t="s">
        <v>5</v>
      </c>
      <c r="B288" s="5" t="str">
        <f t="shared" si="139"/>
        <v>SPS2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9.3333189007724718E-4</v>
      </c>
      <c r="J288" s="1">
        <f>'[1]Electricity and CHPs'!F$119</f>
        <v>8.3020612978875993E-4</v>
      </c>
      <c r="K288" s="1">
        <f>'[1]Electricity and CHPs'!G$119</f>
        <v>4.7693233599011361E-4</v>
      </c>
    </row>
    <row r="289" spans="1:13" x14ac:dyDescent="0.25">
      <c r="A289" s="5" t="s">
        <v>5</v>
      </c>
      <c r="B289" s="9" t="str">
        <f t="shared" si="139"/>
        <v>SPS2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437.16897048978143</v>
      </c>
      <c r="G289" s="3">
        <f t="shared" ref="G289" si="158">SUM(G290,G292,G300,G308,G356,G377,G385,G387,G395,G399,G393)</f>
        <v>419.80196606197063</v>
      </c>
      <c r="H289" s="3">
        <f t="shared" ref="H289" si="159">SUM(H290,H292,H300,H308,H356,H377,H385,H387,H395,H399,H393)</f>
        <v>445.65757374981115</v>
      </c>
      <c r="I289" s="3">
        <f t="shared" ref="I289" si="160">SUM(I290,I292,I300,I308,I356,I377,I385,I387,I395,I399,I393)</f>
        <v>464.56908592891619</v>
      </c>
      <c r="J289" s="3">
        <f t="shared" ref="J289" si="161">SUM(J290,J292,J300,J308,J356,J377,J385,J387,J395,J399,J393)</f>
        <v>411.68442948446886</v>
      </c>
      <c r="K289" s="3">
        <f t="shared" ref="K289" si="162">SUM(K290,K292,K300,K308,K356,K377,K385,K387,K395,K399,K393)</f>
        <v>406.76773974132595</v>
      </c>
    </row>
    <row r="290" spans="1:13" x14ac:dyDescent="0.25">
      <c r="A290" s="5" t="s">
        <v>5</v>
      </c>
      <c r="B290" s="5" t="str">
        <f t="shared" si="139"/>
        <v>SPS2</v>
      </c>
      <c r="C290" s="5" t="s">
        <v>7</v>
      </c>
      <c r="D290" t="s">
        <v>846</v>
      </c>
      <c r="E290" t="str">
        <f>E288</f>
        <v>PJ/yr.</v>
      </c>
      <c r="F290" s="1">
        <f>F291</f>
        <v>250.94817636532832</v>
      </c>
      <c r="G290" s="1">
        <f t="shared" ref="G290:K290" si="163">G291</f>
        <v>253.29948466409317</v>
      </c>
      <c r="H290" s="1">
        <f t="shared" si="163"/>
        <v>214.42483478236599</v>
      </c>
      <c r="I290" s="1">
        <f t="shared" si="163"/>
        <v>209.58455041622403</v>
      </c>
      <c r="J290" s="1">
        <f t="shared" si="163"/>
        <v>97.738161177716407</v>
      </c>
      <c r="K290" s="1">
        <f t="shared" si="163"/>
        <v>0</v>
      </c>
    </row>
    <row r="291" spans="1:13" x14ac:dyDescent="0.25">
      <c r="A291" s="5" t="s">
        <v>5</v>
      </c>
      <c r="B291" s="5" t="str">
        <f t="shared" si="139"/>
        <v>SPS2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250.94817636532832</v>
      </c>
      <c r="G291" s="1">
        <f>'[1]Electricity and CHPs_IN'!C$14</f>
        <v>253.29948466409317</v>
      </c>
      <c r="H291" s="1">
        <f>'[1]Electricity and CHPs_IN'!D$14</f>
        <v>214.42483478236599</v>
      </c>
      <c r="I291" s="1">
        <f>'[1]Electricity and CHPs_IN'!E$14</f>
        <v>209.58455041622403</v>
      </c>
      <c r="J291" s="1">
        <f>'[1]Electricity and CHPs_IN'!F$14</f>
        <v>97.738161177716407</v>
      </c>
      <c r="K291" s="1">
        <f>'[1]Electricity and CHPs_IN'!G$14</f>
        <v>0</v>
      </c>
    </row>
    <row r="292" spans="1:13" x14ac:dyDescent="0.25">
      <c r="A292" s="5" t="s">
        <v>5</v>
      </c>
      <c r="B292" s="5" t="str">
        <f t="shared" si="139"/>
        <v>SPS2</v>
      </c>
      <c r="C292" s="5" t="s">
        <v>7</v>
      </c>
      <c r="D292" t="s">
        <v>847</v>
      </c>
      <c r="E292" t="str">
        <f t="shared" ref="E292:E355" si="164">E291</f>
        <v>PJ/yr.</v>
      </c>
      <c r="F292" s="1">
        <f>SUM(F293:F295)</f>
        <v>149.4304843930116</v>
      </c>
      <c r="G292" s="1">
        <f t="shared" ref="G292:K292" si="165">SUM(G293:G295)</f>
        <v>125.60771568342508</v>
      </c>
      <c r="H292" s="1">
        <f t="shared" si="165"/>
        <v>173.65669953048325</v>
      </c>
      <c r="I292" s="1">
        <f t="shared" si="165"/>
        <v>150.77810578199643</v>
      </c>
      <c r="J292" s="1">
        <f t="shared" si="165"/>
        <v>153.75605057547352</v>
      </c>
      <c r="K292" s="1">
        <f t="shared" si="165"/>
        <v>157.73287872730955</v>
      </c>
    </row>
    <row r="293" spans="1:13" x14ac:dyDescent="0.25">
      <c r="A293" s="5" t="s">
        <v>5</v>
      </c>
      <c r="B293" s="5" t="str">
        <f t="shared" si="139"/>
        <v>SPS2</v>
      </c>
      <c r="C293" s="5" t="s">
        <v>7</v>
      </c>
      <c r="D293" t="s">
        <v>93</v>
      </c>
      <c r="E293" t="str">
        <f t="shared" si="164"/>
        <v>PJ/yr.</v>
      </c>
      <c r="F293" s="1">
        <f>'[1]Electricity and CHPs_IN'!B$15</f>
        <v>66.745680037436841</v>
      </c>
      <c r="G293" s="1">
        <f>'[1]Electricity and CHPs_IN'!C$15</f>
        <v>49.798798693986065</v>
      </c>
      <c r="H293" s="1">
        <f>'[1]Electricity and CHPs_IN'!D$15</f>
        <v>68.535157590789154</v>
      </c>
      <c r="I293" s="1">
        <f>'[1]Electricity and CHPs_IN'!E$15</f>
        <v>70.23000454847741</v>
      </c>
      <c r="J293" s="1">
        <f>'[1]Electricity and CHPs_IN'!F$15</f>
        <v>70.772721031926437</v>
      </c>
      <c r="K293" s="1">
        <f>'[1]Electricity and CHPs_IN'!G$15</f>
        <v>74.336055534228123</v>
      </c>
    </row>
    <row r="294" spans="1:13" x14ac:dyDescent="0.25">
      <c r="A294" s="5" t="s">
        <v>5</v>
      </c>
      <c r="B294" s="5" t="str">
        <f t="shared" si="139"/>
        <v>SPS2</v>
      </c>
      <c r="C294" s="5" t="s">
        <v>7</v>
      </c>
      <c r="D294" t="s">
        <v>94</v>
      </c>
      <c r="E294" t="str">
        <f t="shared" si="164"/>
        <v>PJ/yr.</v>
      </c>
      <c r="F294" s="1">
        <f>'[1]Electricity and CHPs_IN'!B$16</f>
        <v>66.632401819639057</v>
      </c>
      <c r="G294" s="1">
        <f>'[1]Electricity and CHPs_IN'!C$16</f>
        <v>55.764000216803026</v>
      </c>
      <c r="H294" s="1">
        <f>'[1]Electricity and CHPs_IN'!D$16</f>
        <v>65.550182888372618</v>
      </c>
      <c r="I294" s="1">
        <f>'[1]Electricity and CHPs_IN'!E$16</f>
        <v>64.469267731764319</v>
      </c>
      <c r="J294" s="1">
        <f>'[1]Electricity and CHPs_IN'!F$16</f>
        <v>66.300719994511383</v>
      </c>
      <c r="K294" s="1">
        <f>'[1]Electricity and CHPs_IN'!G$16</f>
        <v>66.134974085555285</v>
      </c>
    </row>
    <row r="295" spans="1:13" x14ac:dyDescent="0.25">
      <c r="A295" s="5" t="s">
        <v>5</v>
      </c>
      <c r="B295" s="5" t="str">
        <f t="shared" si="139"/>
        <v>SPS2</v>
      </c>
      <c r="C295" s="5" t="s">
        <v>7</v>
      </c>
      <c r="D295" t="s">
        <v>95</v>
      </c>
      <c r="E295" t="str">
        <f t="shared" si="164"/>
        <v>PJ/yr.</v>
      </c>
      <c r="F295" s="1">
        <f>'[1]Electricity and CHPs_IN'!B$13</f>
        <v>16.052402535935702</v>
      </c>
      <c r="G295" s="1">
        <f>'[1]Electricity and CHPs_IN'!C$13</f>
        <v>20.044916772635993</v>
      </c>
      <c r="H295" s="1">
        <f>'[1]Electricity and CHPs_IN'!D$13</f>
        <v>39.571359051321465</v>
      </c>
      <c r="I295" s="1">
        <f>'[1]Electricity and CHPs_IN'!E$13</f>
        <v>16.078833501754708</v>
      </c>
      <c r="J295" s="1">
        <f>'[1]Electricity and CHPs_IN'!F$13</f>
        <v>16.682609549035714</v>
      </c>
      <c r="K295" s="1">
        <f>'[1]Electricity and CHPs_IN'!G$13</f>
        <v>17.261849107526164</v>
      </c>
    </row>
    <row r="296" spans="1:13" x14ac:dyDescent="0.25">
      <c r="A296" s="5" t="s">
        <v>5</v>
      </c>
      <c r="B296" s="5" t="str">
        <f t="shared" si="139"/>
        <v>SPS2</v>
      </c>
      <c r="C296" s="5" t="s">
        <v>7</v>
      </c>
      <c r="D296" t="s">
        <v>848</v>
      </c>
      <c r="E296" t="str">
        <f t="shared" si="164"/>
        <v>PJ/yr.</v>
      </c>
      <c r="F296" s="1">
        <f>SUM(F297:F299)</f>
        <v>0.1451595093972981</v>
      </c>
      <c r="G296" s="1">
        <f t="shared" ref="G296:K296" si="166">SUM(G297:G299)</f>
        <v>5.4872172779540367E-2</v>
      </c>
      <c r="H296" s="1">
        <f t="shared" si="166"/>
        <v>2.9120174740576335E-2</v>
      </c>
      <c r="I296" s="1">
        <f t="shared" si="166"/>
        <v>8.0155675620225061E-2</v>
      </c>
      <c r="J296" s="1">
        <f t="shared" si="166"/>
        <v>3.37367812044451E-2</v>
      </c>
      <c r="K296" s="1">
        <f t="shared" si="166"/>
        <v>6.2691149158661263E-4</v>
      </c>
    </row>
    <row r="297" spans="1:13" x14ac:dyDescent="0.25">
      <c r="A297" s="5" t="s">
        <v>5</v>
      </c>
      <c r="B297" s="5" t="str">
        <f t="shared" si="139"/>
        <v>SPS2</v>
      </c>
      <c r="C297" s="5" t="s">
        <v>7</v>
      </c>
      <c r="D297" t="s">
        <v>96</v>
      </c>
      <c r="E297" t="str">
        <f t="shared" si="164"/>
        <v>PJ/yr.</v>
      </c>
      <c r="F297" s="1">
        <f>'[1]Electricity and CHPs_IN'!B$18</f>
        <v>0.12051623554376224</v>
      </c>
      <c r="G297" s="1">
        <f>'[1]Electricity and CHPs_IN'!C$18</f>
        <v>1.4597063485121456E-3</v>
      </c>
      <c r="H297" s="1">
        <f>'[1]Electricity and CHPs_IN'!D$18</f>
        <v>2.4535438936715923E-2</v>
      </c>
      <c r="I297" s="1">
        <f>'[1]Electricity and CHPs_IN'!E$18</f>
        <v>4.5983296507523964E-3</v>
      </c>
      <c r="J297" s="1">
        <f>'[1]Electricity and CHPs_IN'!F$18</f>
        <v>1.0229304879512053E-2</v>
      </c>
      <c r="K297" s="1">
        <f>'[1]Electricity and CHPs_IN'!G$18</f>
        <v>3.2961207978630965E-5</v>
      </c>
    </row>
    <row r="298" spans="1:13" x14ac:dyDescent="0.25">
      <c r="A298" s="5" t="s">
        <v>5</v>
      </c>
      <c r="B298" s="5" t="str">
        <f t="shared" si="139"/>
        <v>SPS2</v>
      </c>
      <c r="C298" s="5" t="s">
        <v>7</v>
      </c>
      <c r="D298" t="s">
        <v>230</v>
      </c>
      <c r="E298" t="str">
        <f t="shared" si="164"/>
        <v>PJ/yr.</v>
      </c>
      <c r="F298" s="1">
        <f>IFERROR(F70/SUM(F70,F183),0)*'[1]Electricity and CHPs_IN'!B$28</f>
        <v>3.7376207455785712E-3</v>
      </c>
      <c r="G298" s="1">
        <f>IFERROR(G70/SUM(G70,G183),0)*'[1]Electricity and CHPs_IN'!C$28</f>
        <v>3.0720682132281469E-4</v>
      </c>
      <c r="H298" s="1">
        <f>IFERROR(H70/SUM(H70,H183),0)*'[1]Electricity and CHPs_IN'!D$28</f>
        <v>3.2834470958812501E-3</v>
      </c>
      <c r="I298" s="1">
        <f>IFERROR(I70/SUM(I70,I183),0)*'[1]Electricity and CHPs_IN'!E$28</f>
        <v>1.4836274748709767E-3</v>
      </c>
      <c r="J298" s="1">
        <f>IFERROR(J70/SUM(J70,J183),0)*'[1]Electricity and CHPs_IN'!F$28</f>
        <v>1.5928373586080291E-3</v>
      </c>
      <c r="K298" s="1">
        <f>IFERROR(K70/SUM(K70,K183),0)*'[1]Electricity and CHPs_IN'!G$28</f>
        <v>0</v>
      </c>
      <c r="M298" s="1"/>
    </row>
    <row r="299" spans="1:13" x14ac:dyDescent="0.25">
      <c r="A299" s="5" t="s">
        <v>5</v>
      </c>
      <c r="B299" s="5" t="str">
        <f t="shared" si="139"/>
        <v>SPS2</v>
      </c>
      <c r="C299" s="5" t="s">
        <v>7</v>
      </c>
      <c r="D299" t="s">
        <v>97</v>
      </c>
      <c r="E299" t="str">
        <f t="shared" si="164"/>
        <v>PJ/yr.</v>
      </c>
      <c r="F299" s="1">
        <f>IFERROR(F71/SUM(F71,F233),0)*'[1]Electricity and CHPs_IN'!B$41</f>
        <v>2.0905653107957306E-2</v>
      </c>
      <c r="G299" s="1">
        <f>IFERROR(G71/SUM(G71,G233),0)*'[1]Electricity and CHPs_IN'!C$41</f>
        <v>5.3105259609705406E-2</v>
      </c>
      <c r="H299" s="1">
        <f>IFERROR(H71/SUM(H71,H233),0)*'[1]Electricity and CHPs_IN'!D$41</f>
        <v>1.3012887079791632E-3</v>
      </c>
      <c r="I299" s="1">
        <f>IFERROR(I71/SUM(I71,I233),0)*'[1]Electricity and CHPs_IN'!E$41</f>
        <v>7.407371849460169E-2</v>
      </c>
      <c r="J299" s="1">
        <f>IFERROR(J71/SUM(J71,J233),0)*'[1]Electricity and CHPs_IN'!F$41</f>
        <v>2.191463896632502E-2</v>
      </c>
      <c r="K299" s="1">
        <f>IFERROR(K71/SUM(K71,K233),0)*'[1]Electricity and CHPs_IN'!G$41</f>
        <v>5.9395028360798171E-4</v>
      </c>
    </row>
    <row r="300" spans="1:13" x14ac:dyDescent="0.25">
      <c r="A300" s="5" t="s">
        <v>5</v>
      </c>
      <c r="B300" s="5" t="str">
        <f t="shared" si="139"/>
        <v>SPS2</v>
      </c>
      <c r="C300" s="5" t="s">
        <v>7</v>
      </c>
      <c r="D300" t="s">
        <v>849</v>
      </c>
      <c r="E300" t="str">
        <f t="shared" si="164"/>
        <v>PJ/yr.</v>
      </c>
      <c r="F300" s="1">
        <f>F296</f>
        <v>0.1451595093972981</v>
      </c>
      <c r="G300" s="1">
        <f t="shared" ref="G300:K300" si="167">G296</f>
        <v>5.4872172779540367E-2</v>
      </c>
      <c r="H300" s="1">
        <f t="shared" si="167"/>
        <v>2.9120174740576335E-2</v>
      </c>
      <c r="I300" s="1">
        <f t="shared" si="167"/>
        <v>8.0155675620225061E-2</v>
      </c>
      <c r="J300" s="1">
        <f t="shared" si="167"/>
        <v>3.37367812044451E-2</v>
      </c>
      <c r="K300" s="1">
        <f t="shared" si="167"/>
        <v>6.2691149158661263E-4</v>
      </c>
    </row>
    <row r="301" spans="1:13" x14ac:dyDescent="0.25">
      <c r="A301" s="5" t="s">
        <v>5</v>
      </c>
      <c r="B301" s="5" t="str">
        <f t="shared" si="139"/>
        <v>SPS2</v>
      </c>
      <c r="C301" s="5" t="s">
        <v>7</v>
      </c>
      <c r="D301" t="s">
        <v>520</v>
      </c>
      <c r="E301" t="str">
        <f t="shared" si="164"/>
        <v>PJ/yr.</v>
      </c>
      <c r="F301" s="1">
        <f t="shared" ref="F301:K301" si="168">F297</f>
        <v>0.12051623554376224</v>
      </c>
      <c r="G301" s="1">
        <f t="shared" si="168"/>
        <v>1.4597063485121456E-3</v>
      </c>
      <c r="H301" s="1">
        <f t="shared" si="168"/>
        <v>2.4535438936715923E-2</v>
      </c>
      <c r="I301" s="1">
        <f t="shared" si="168"/>
        <v>4.5983296507523964E-3</v>
      </c>
      <c r="J301" s="1">
        <f t="shared" si="168"/>
        <v>1.0229304879512053E-2</v>
      </c>
      <c r="K301" s="1">
        <f t="shared" si="168"/>
        <v>3.2961207978630965E-5</v>
      </c>
    </row>
    <row r="302" spans="1:13" x14ac:dyDescent="0.25">
      <c r="A302" s="5" t="s">
        <v>5</v>
      </c>
      <c r="B302" s="5" t="str">
        <f t="shared" si="139"/>
        <v>SPS2</v>
      </c>
      <c r="C302" s="5" t="s">
        <v>7</v>
      </c>
      <c r="D302" t="s">
        <v>521</v>
      </c>
      <c r="E302" t="str">
        <f t="shared" si="164"/>
        <v>PJ/yr.</v>
      </c>
      <c r="F302" s="1">
        <f t="shared" ref="F302:K302" si="169">F298</f>
        <v>3.7376207455785712E-3</v>
      </c>
      <c r="G302" s="1">
        <f t="shared" si="169"/>
        <v>3.0720682132281469E-4</v>
      </c>
      <c r="H302" s="1">
        <f t="shared" si="169"/>
        <v>3.2834470958812501E-3</v>
      </c>
      <c r="I302" s="1">
        <f t="shared" si="169"/>
        <v>1.4836274748709767E-3</v>
      </c>
      <c r="J302" s="1">
        <f t="shared" si="169"/>
        <v>1.5928373586080291E-3</v>
      </c>
      <c r="K302" s="1">
        <f t="shared" si="169"/>
        <v>0</v>
      </c>
    </row>
    <row r="303" spans="1:13" x14ac:dyDescent="0.25">
      <c r="A303" s="5" t="s">
        <v>5</v>
      </c>
      <c r="B303" s="5" t="str">
        <f t="shared" si="139"/>
        <v>SPS2</v>
      </c>
      <c r="C303" s="5" t="s">
        <v>7</v>
      </c>
      <c r="D303" t="s">
        <v>522</v>
      </c>
      <c r="E303" t="str">
        <f t="shared" si="164"/>
        <v>PJ/yr.</v>
      </c>
      <c r="F303" s="1">
        <f t="shared" ref="F303:K303" si="170">F299</f>
        <v>2.0905653107957306E-2</v>
      </c>
      <c r="G303" s="1">
        <f t="shared" si="170"/>
        <v>5.3105259609705406E-2</v>
      </c>
      <c r="H303" s="1">
        <f t="shared" si="170"/>
        <v>1.3012887079791632E-3</v>
      </c>
      <c r="I303" s="1">
        <f t="shared" si="170"/>
        <v>7.407371849460169E-2</v>
      </c>
      <c r="J303" s="1">
        <f t="shared" si="170"/>
        <v>2.191463896632502E-2</v>
      </c>
      <c r="K303" s="1">
        <f t="shared" si="170"/>
        <v>5.9395028360798171E-4</v>
      </c>
    </row>
    <row r="304" spans="1:13" x14ac:dyDescent="0.25">
      <c r="A304" s="5" t="s">
        <v>5</v>
      </c>
      <c r="B304" s="5" t="str">
        <f t="shared" si="139"/>
        <v>SPS2</v>
      </c>
      <c r="C304" s="5" t="s">
        <v>7</v>
      </c>
      <c r="D304" t="s">
        <v>850</v>
      </c>
      <c r="E304" t="str">
        <f t="shared" si="164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tr">
        <f t="shared" si="139"/>
        <v>SPS2</v>
      </c>
      <c r="C305" s="5" t="s">
        <v>7</v>
      </c>
      <c r="D305" t="s">
        <v>544</v>
      </c>
      <c r="E305" t="str">
        <f t="shared" si="164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tr">
        <f t="shared" si="139"/>
        <v>SPS2</v>
      </c>
      <c r="C306" s="5" t="s">
        <v>7</v>
      </c>
      <c r="D306" t="s">
        <v>545</v>
      </c>
      <c r="E306" t="str">
        <f t="shared" si="164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tr">
        <f t="shared" si="139"/>
        <v>SPS2</v>
      </c>
      <c r="C307" s="5" t="s">
        <v>7</v>
      </c>
      <c r="D307" t="s">
        <v>546</v>
      </c>
      <c r="E307" t="str">
        <f t="shared" si="164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tr">
        <f t="shared" ref="B308:B371" si="171">B307</f>
        <v>SPS2</v>
      </c>
      <c r="C308" s="5" t="s">
        <v>7</v>
      </c>
      <c r="D308" t="s">
        <v>851</v>
      </c>
      <c r="E308" t="str">
        <f t="shared" si="164"/>
        <v>PJ/yr.</v>
      </c>
      <c r="F308" s="1">
        <f>SUM(F309:F323)</f>
        <v>4.0868835439543867</v>
      </c>
      <c r="G308" s="1">
        <f t="shared" ref="G308:K308" si="172">SUM(G309:G323)</f>
        <v>2.3375058701464257</v>
      </c>
      <c r="H308" s="1">
        <f t="shared" si="172"/>
        <v>1.4350651651154651</v>
      </c>
      <c r="I308" s="1">
        <f t="shared" si="172"/>
        <v>2.2021539887509025</v>
      </c>
      <c r="J308" s="1">
        <f t="shared" si="172"/>
        <v>5.1128327279830996</v>
      </c>
      <c r="K308" s="1">
        <f t="shared" si="172"/>
        <v>4.0265905706369214</v>
      </c>
    </row>
    <row r="309" spans="1:11" x14ac:dyDescent="0.25">
      <c r="A309" s="5" t="s">
        <v>5</v>
      </c>
      <c r="B309" s="5" t="str">
        <f t="shared" si="171"/>
        <v>SPS2</v>
      </c>
      <c r="C309" s="5" t="s">
        <v>7</v>
      </c>
      <c r="D309" t="s">
        <v>98</v>
      </c>
      <c r="E309" t="str">
        <f t="shared" si="164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6.6644873792356382E-2</v>
      </c>
      <c r="K309" s="1">
        <f>'[1]Electricity and CHPs_IN'!G$21</f>
        <v>1.4336725075938465E-3</v>
      </c>
    </row>
    <row r="310" spans="1:11" x14ac:dyDescent="0.25">
      <c r="A310" s="5" t="s">
        <v>5</v>
      </c>
      <c r="B310" s="5" t="str">
        <f t="shared" si="171"/>
        <v>SPS2</v>
      </c>
      <c r="C310" s="5" t="s">
        <v>7</v>
      </c>
      <c r="D310" t="s">
        <v>99</v>
      </c>
      <c r="E310" t="str">
        <f t="shared" si="164"/>
        <v>PJ/yr.</v>
      </c>
      <c r="F310" s="1">
        <f>'[1]Electricity and CHPs_IN'!B$22</f>
        <v>0</v>
      </c>
      <c r="G310" s="1">
        <f>'[1]Electricity and CHPs_IN'!C$22</f>
        <v>2.454470166745723E-3</v>
      </c>
      <c r="H310" s="1">
        <f>'[1]Electricity and CHPs_IN'!D$22</f>
        <v>4.5320781433515735E-2</v>
      </c>
      <c r="I310" s="1">
        <f>'[1]Electricity and CHPs_IN'!E$22</f>
        <v>0.14395818182838802</v>
      </c>
      <c r="J310" s="1">
        <f>'[1]Electricity and CHPs_IN'!F$22</f>
        <v>0.94920394099929128</v>
      </c>
      <c r="K310" s="1">
        <f>'[1]Electricity and CHPs_IN'!G$22</f>
        <v>1.4017999517689544E-2</v>
      </c>
    </row>
    <row r="311" spans="1:11" x14ac:dyDescent="0.25">
      <c r="A311" s="5" t="s">
        <v>5</v>
      </c>
      <c r="B311" s="5" t="str">
        <f t="shared" si="171"/>
        <v>SPS2</v>
      </c>
      <c r="C311" s="5" t="s">
        <v>7</v>
      </c>
      <c r="D311" t="s">
        <v>100</v>
      </c>
      <c r="E311" t="str">
        <f t="shared" si="164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5.9562053366682965E-3</v>
      </c>
      <c r="K311" s="1">
        <f>'[1]Electricity and CHPs_IN'!G$23</f>
        <v>3.7394638215309372E-3</v>
      </c>
    </row>
    <row r="312" spans="1:11" x14ac:dyDescent="0.25">
      <c r="A312" s="5" t="s">
        <v>5</v>
      </c>
      <c r="B312" s="5" t="str">
        <f t="shared" si="171"/>
        <v>SPS2</v>
      </c>
      <c r="C312" s="5" t="s">
        <v>7</v>
      </c>
      <c r="D312" t="s">
        <v>101</v>
      </c>
      <c r="E312" t="str">
        <f t="shared" si="164"/>
        <v>PJ/yr.</v>
      </c>
      <c r="F312" s="1">
        <f>IFERROR(F84/SUM(F84+F187),0)*'[1]Electricity and CHPs_IN'!B$24</f>
        <v>1.2841305143413766</v>
      </c>
      <c r="G312" s="1">
        <f>IFERROR(G84/SUM(G84+G187),0)*'[1]Electricity and CHPs_IN'!C$24</f>
        <v>1.1381257736608255E-3</v>
      </c>
      <c r="H312" s="1">
        <f>IFERROR(H84/SUM(H84+H187),0)*'[1]Electricity and CHPs_IN'!D$24</f>
        <v>9.6662174534957856E-3</v>
      </c>
      <c r="I312" s="1">
        <f>IFERROR(I84/SUM(I84+I187),0)*'[1]Electricity and CHPs_IN'!E$24</f>
        <v>3.6382830140646014E-2</v>
      </c>
      <c r="J312" s="1">
        <f>IFERROR(J84/SUM(J84+J187),0)*'[1]Electricity and CHPs_IN'!F$24</f>
        <v>2.8506124080553735E-2</v>
      </c>
      <c r="K312" s="1">
        <f>IFERROR(K84/SUM(K84+K187),0)*'[1]Electricity and CHPs_IN'!G$24</f>
        <v>2.5995504632335821E-4</v>
      </c>
    </row>
    <row r="313" spans="1:11" x14ac:dyDescent="0.25">
      <c r="A313" s="5" t="s">
        <v>5</v>
      </c>
      <c r="B313" s="5" t="str">
        <f t="shared" si="171"/>
        <v>SPS2</v>
      </c>
      <c r="C313" s="5" t="s">
        <v>7</v>
      </c>
      <c r="D313" t="s">
        <v>102</v>
      </c>
      <c r="E313" t="str">
        <f t="shared" si="164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3.4816460799868248E-2</v>
      </c>
      <c r="K313" s="1">
        <f>IFERROR(K85/SUM(K85+K188),0)*'[1]Electricity and CHPs_IN'!G$29</f>
        <v>2.9589158960356129E-4</v>
      </c>
    </row>
    <row r="314" spans="1:11" x14ac:dyDescent="0.25">
      <c r="A314" s="5" t="s">
        <v>5</v>
      </c>
      <c r="B314" s="5" t="str">
        <f t="shared" si="171"/>
        <v>SPS2</v>
      </c>
      <c r="C314" s="5" t="s">
        <v>7</v>
      </c>
      <c r="D314" t="s">
        <v>103</v>
      </c>
      <c r="E314" t="str">
        <f t="shared" si="164"/>
        <v>PJ/yr.</v>
      </c>
      <c r="F314" s="1">
        <f>F86/SUM(F86,F239)*'[1]Electricity and CHPs_IN'!B$39</f>
        <v>0.8932869109789392</v>
      </c>
      <c r="G314" s="1">
        <f>G86/SUM(G86,G239)*'[1]Electricity and CHPs_IN'!C$39</f>
        <v>0.28320032193622169</v>
      </c>
      <c r="H314" s="1">
        <f>H86/SUM(H86,H239)*'[1]Electricity and CHPs_IN'!D$39</f>
        <v>6.6935753739725087E-2</v>
      </c>
      <c r="I314" s="1">
        <f>I86/SUM(I86,I239)*'[1]Electricity and CHPs_IN'!E$39</f>
        <v>0.44887365015114211</v>
      </c>
      <c r="J314" s="1">
        <f>J86/SUM(J86,J239)*'[1]Electricity and CHPs_IN'!F$39</f>
        <v>2.2372660510301001</v>
      </c>
      <c r="K314" s="1">
        <f>K86/SUM(K86,K239)*'[1]Electricity and CHPs_IN'!G$39</f>
        <v>1.7965945966402606</v>
      </c>
    </row>
    <row r="315" spans="1:11" x14ac:dyDescent="0.25">
      <c r="A315" s="5" t="s">
        <v>5</v>
      </c>
      <c r="B315" s="5" t="str">
        <f t="shared" si="171"/>
        <v>SPS2</v>
      </c>
      <c r="C315" s="5" t="s">
        <v>7</v>
      </c>
      <c r="D315" t="s">
        <v>104</v>
      </c>
      <c r="E315" t="str">
        <f t="shared" si="164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2.5468936315295055E-3</v>
      </c>
      <c r="K315" s="1">
        <f>IFERROR(K87/SUM(K87,K240),0)*'[1]Electricity and CHPs_IN'!G$40</f>
        <v>0.70288255140439815</v>
      </c>
    </row>
    <row r="316" spans="1:11" x14ac:dyDescent="0.25">
      <c r="A316" s="5" t="s">
        <v>5</v>
      </c>
      <c r="B316" s="5" t="str">
        <f t="shared" si="171"/>
        <v>SPS2</v>
      </c>
      <c r="C316" s="5" t="s">
        <v>7</v>
      </c>
      <c r="D316" t="s">
        <v>105</v>
      </c>
      <c r="E316" t="str">
        <f t="shared" si="164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tr">
        <f t="shared" si="171"/>
        <v>SPS2</v>
      </c>
      <c r="C317" s="5" t="s">
        <v>7</v>
      </c>
      <c r="D317" t="s">
        <v>106</v>
      </c>
      <c r="E317" t="str">
        <f t="shared" si="164"/>
        <v>PJ/yr.</v>
      </c>
      <c r="F317" s="1">
        <f>F89/SUM(F89,F242)*'[1]Electricity and CHPs_IN'!B$48</f>
        <v>3.9340078941151192E-2</v>
      </c>
      <c r="G317" s="1">
        <f>G89/SUM(G89,G242)*'[1]Electricity and CHPs_IN'!C$48</f>
        <v>2.3819930712964421E-3</v>
      </c>
      <c r="H317" s="1">
        <f>H89/SUM(H89,H242)*'[1]Electricity and CHPs_IN'!D$48</f>
        <v>3.31067106476708E-3</v>
      </c>
      <c r="I317" s="1">
        <f>I89/SUM(I89,I242)*'[1]Electricity and CHPs_IN'!E$48</f>
        <v>2.9022255106632387E-2</v>
      </c>
      <c r="J317" s="1">
        <f>J89/SUM(J89,J242)*'[1]Electricity and CHPs_IN'!F$48</f>
        <v>2.1046514144340668E-3</v>
      </c>
      <c r="K317" s="1">
        <f>K89/SUM(K89,K242)*'[1]Electricity and CHPs_IN'!G$48</f>
        <v>1.5022996162888634E-4</v>
      </c>
    </row>
    <row r="318" spans="1:11" x14ac:dyDescent="0.25">
      <c r="A318" s="5" t="s">
        <v>5</v>
      </c>
      <c r="B318" s="5" t="str">
        <f t="shared" si="171"/>
        <v>SPS2</v>
      </c>
      <c r="C318" s="5" t="s">
        <v>7</v>
      </c>
      <c r="D318" t="s">
        <v>107</v>
      </c>
      <c r="E318" t="str">
        <f t="shared" si="164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6.2986520717309559E-4</v>
      </c>
      <c r="J318" s="1">
        <f>IFERROR(J90/SUM(J90,J243),0)*'[1]Electricity and CHPs_IN'!F$49</f>
        <v>1.6792070643372554E-3</v>
      </c>
      <c r="K318" s="1">
        <f>IFERROR(K90/SUM(K90,K243),0)*'[1]Electricity and CHPs_IN'!G$49</f>
        <v>1.0061519496702906E-3</v>
      </c>
    </row>
    <row r="319" spans="1:11" x14ac:dyDescent="0.25">
      <c r="A319" s="5" t="s">
        <v>5</v>
      </c>
      <c r="B319" s="5" t="str">
        <f t="shared" si="171"/>
        <v>SPS2</v>
      </c>
      <c r="C319" s="5" t="s">
        <v>7</v>
      </c>
      <c r="D319" t="s">
        <v>108</v>
      </c>
      <c r="E319" t="str">
        <f t="shared" si="164"/>
        <v>PJ/yr.</v>
      </c>
      <c r="F319" s="1">
        <f>IFERROR(F91/SUM(F91,F244),0)*'[1]Electricity and CHPs_IN'!B$51</f>
        <v>3.5733397977156377E-2</v>
      </c>
      <c r="G319" s="1">
        <f>IFERROR(G91/SUM(G91,G244),0)*'[1]Electricity and CHPs_IN'!C$51</f>
        <v>2.157014724368586E-3</v>
      </c>
      <c r="H319" s="1">
        <f>IFERROR(H91/SUM(H91,H244),0)*'[1]Electricity and CHPs_IN'!D$51</f>
        <v>4.3945675734938794E-3</v>
      </c>
      <c r="I319" s="1">
        <f>IFERROR(I91/SUM(I91,I244),0)*'[1]Electricity and CHPs_IN'!E$51</f>
        <v>2.7597293545294905E-2</v>
      </c>
      <c r="J319" s="1">
        <f>IFERROR(J91/SUM(J91,J244),0)*'[1]Electricity and CHPs_IN'!F$51</f>
        <v>0.22906264430704248</v>
      </c>
      <c r="K319" s="1">
        <f>IFERROR(K91/SUM(K91,K244),0)*'[1]Electricity and CHPs_IN'!G$51</f>
        <v>1.8970589002087905E-4</v>
      </c>
    </row>
    <row r="320" spans="1:11" x14ac:dyDescent="0.25">
      <c r="A320" s="5" t="s">
        <v>5</v>
      </c>
      <c r="B320" s="5" t="str">
        <f t="shared" si="171"/>
        <v>SPS2</v>
      </c>
      <c r="C320" s="5" t="s">
        <v>7</v>
      </c>
      <c r="D320" t="s">
        <v>109</v>
      </c>
      <c r="E320" t="str">
        <f t="shared" si="164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1.5162765194395337E-3</v>
      </c>
      <c r="J320" s="1">
        <f>IFERROR(J92/SUM(J92,J245),0)*'[1]Electricity and CHPs_IN'!F$52</f>
        <v>5.9615765815675924E-3</v>
      </c>
      <c r="K320" s="1">
        <f>IFERROR(K92/SUM(K92,K245),0)*'[1]Electricity and CHPs_IN'!G$52</f>
        <v>1.5419714913213292E-3</v>
      </c>
    </row>
    <row r="321" spans="1:11" x14ac:dyDescent="0.25">
      <c r="A321" s="5" t="s">
        <v>5</v>
      </c>
      <c r="B321" s="5" t="str">
        <f t="shared" si="171"/>
        <v>SPS2</v>
      </c>
      <c r="C321" s="5" t="s">
        <v>7</v>
      </c>
      <c r="D321" t="s">
        <v>110</v>
      </c>
      <c r="E321" t="str">
        <f t="shared" si="164"/>
        <v>PJ/yr.</v>
      </c>
      <c r="F321" s="1">
        <f>IFERROR(F93/SUM(F93,F246),0)*'[1]Electricity and CHPs_IN'!B$54</f>
        <v>1.0647011511533839</v>
      </c>
      <c r="G321" s="1">
        <f>IFERROR(G93/SUM(G93,G246),0)*'[1]Electricity and CHPs_IN'!C$54</f>
        <v>1.2552820506387914</v>
      </c>
      <c r="H321" s="1">
        <f>IFERROR(H93/SUM(H93,H246),0)*'[1]Electricity and CHPs_IN'!D$54</f>
        <v>1.2999795241148751</v>
      </c>
      <c r="I321" s="1">
        <f>IFERROR(I93/SUM(I93,I246),0)*'[1]Electricity and CHPs_IN'!E$54</f>
        <v>1.380273359228646</v>
      </c>
      <c r="J321" s="1">
        <f>IFERROR(J93/SUM(J93,J246),0)*'[1]Electricity and CHPs_IN'!F$54</f>
        <v>1.5449246456198482</v>
      </c>
      <c r="K321" s="1">
        <f>IFERROR(K93/SUM(K93,K246),0)*'[1]Electricity and CHPs_IN'!G$54</f>
        <v>1.5037688715803892</v>
      </c>
    </row>
    <row r="322" spans="1:11" x14ac:dyDescent="0.25">
      <c r="A322" s="5" t="s">
        <v>5</v>
      </c>
      <c r="B322" s="5" t="str">
        <f t="shared" si="171"/>
        <v>SPS2</v>
      </c>
      <c r="C322" s="5" t="s">
        <v>7</v>
      </c>
      <c r="D322" t="s">
        <v>111</v>
      </c>
      <c r="E322" t="str">
        <f t="shared" si="164"/>
        <v>PJ/yr.</v>
      </c>
      <c r="F322" s="1">
        <f>IFERROR(F94/SUM(F94,F247),0)*'[1]Electricity and CHPs_IN'!B$55</f>
        <v>0.76969149056237907</v>
      </c>
      <c r="G322" s="1">
        <f>IFERROR(G94/SUM(G94,G247),0)*'[1]Electricity and CHPs_IN'!C$55</f>
        <v>0.79089189383534098</v>
      </c>
      <c r="H322" s="1">
        <f>IFERROR(H94/SUM(H94,H247),0)*'[1]Electricity and CHPs_IN'!D$55</f>
        <v>5.4576497355924968E-3</v>
      </c>
      <c r="I322" s="1">
        <f>IFERROR(I94/SUM(I94,I247),0)*'[1]Electricity and CHPs_IN'!E$55</f>
        <v>0.13358693111868555</v>
      </c>
      <c r="J322" s="1">
        <f>IFERROR(J94/SUM(J94,J247),0)*'[1]Electricity and CHPs_IN'!F$55</f>
        <v>1.5899548785449471E-3</v>
      </c>
      <c r="K322" s="1">
        <f>IFERROR(K94/SUM(K94,K247),0)*'[1]Electricity and CHPs_IN'!G$55</f>
        <v>2.4696722279891957E-4</v>
      </c>
    </row>
    <row r="323" spans="1:11" x14ac:dyDescent="0.25">
      <c r="A323" s="5" t="s">
        <v>5</v>
      </c>
      <c r="B323" s="5" t="str">
        <f t="shared" si="171"/>
        <v>SPS2</v>
      </c>
      <c r="C323" s="5" t="s">
        <v>7</v>
      </c>
      <c r="D323" t="s">
        <v>112</v>
      </c>
      <c r="E323" t="str">
        <f t="shared" si="164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3.1334590485474438E-4</v>
      </c>
      <c r="J323" s="1">
        <f>IFERROR(J95/SUM(J95,J248),0)*'[1]Electricity and CHPs_IN'!F$58</f>
        <v>2.5694984469570407E-3</v>
      </c>
      <c r="K323" s="1">
        <f>IFERROR(K95/SUM(K95,K248),0)*'[1]Electricity and CHPs_IN'!G$58</f>
        <v>4.62542013692118E-4</v>
      </c>
    </row>
    <row r="324" spans="1:11" x14ac:dyDescent="0.25">
      <c r="A324" s="5" t="s">
        <v>5</v>
      </c>
      <c r="B324" s="5" t="str">
        <f t="shared" si="171"/>
        <v>SPS2</v>
      </c>
      <c r="C324" s="5" t="s">
        <v>7</v>
      </c>
      <c r="D324" t="s">
        <v>852</v>
      </c>
      <c r="E324" t="str">
        <f t="shared" si="164"/>
        <v>PJ/yr.</v>
      </c>
      <c r="F324" s="1">
        <f>F308-F340</f>
        <v>2.944701663156394</v>
      </c>
      <c r="G324" s="1">
        <f t="shared" ref="G324:K324" si="173">G308-G340</f>
        <v>1.0479428619754176</v>
      </c>
      <c r="H324" s="1">
        <f t="shared" si="173"/>
        <v>0.13488875379147802</v>
      </c>
      <c r="I324" s="1">
        <f t="shared" si="173"/>
        <v>0.7911094887954182</v>
      </c>
      <c r="J324" s="1">
        <f t="shared" si="173"/>
        <v>2.8580057521858513</v>
      </c>
      <c r="K324" s="1">
        <f t="shared" si="173"/>
        <v>0.81488558490108964</v>
      </c>
    </row>
    <row r="325" spans="1:11" x14ac:dyDescent="0.25">
      <c r="A325" s="5" t="s">
        <v>5</v>
      </c>
      <c r="B325" s="5" t="str">
        <f t="shared" si="171"/>
        <v>SPS2</v>
      </c>
      <c r="C325" s="5" t="s">
        <v>7</v>
      </c>
      <c r="D325" t="s">
        <v>579</v>
      </c>
      <c r="E325" t="str">
        <f t="shared" si="164"/>
        <v>PJ/yr.</v>
      </c>
      <c r="F325" s="1">
        <f>IFERROR(F97/F81,0)*F309</f>
        <v>0</v>
      </c>
      <c r="G325" s="1">
        <f t="shared" ref="G325:K325" si="174">IFERROR(G97/G81,0)*G309</f>
        <v>0</v>
      </c>
      <c r="H325" s="1">
        <f t="shared" si="174"/>
        <v>0</v>
      </c>
      <c r="I325" s="1">
        <f t="shared" si="174"/>
        <v>0</v>
      </c>
      <c r="J325" s="1">
        <f t="shared" si="174"/>
        <v>5.3384624338778747E-2</v>
      </c>
      <c r="K325" s="1">
        <f t="shared" si="174"/>
        <v>4.630842759692963E-4</v>
      </c>
    </row>
    <row r="326" spans="1:11" x14ac:dyDescent="0.25">
      <c r="A326" s="5" t="s">
        <v>5</v>
      </c>
      <c r="B326" s="5" t="str">
        <f t="shared" si="171"/>
        <v>SPS2</v>
      </c>
      <c r="C326" s="5" t="s">
        <v>7</v>
      </c>
      <c r="D326" t="s">
        <v>580</v>
      </c>
      <c r="E326" t="str">
        <f t="shared" si="164"/>
        <v>PJ/yr.</v>
      </c>
      <c r="F326" s="1">
        <f t="shared" ref="F326:K326" si="175">IFERROR(F98/F82,0)*F310</f>
        <v>0</v>
      </c>
      <c r="G326" s="1">
        <f t="shared" si="175"/>
        <v>2.3767213812970868E-3</v>
      </c>
      <c r="H326" s="1">
        <f t="shared" si="175"/>
        <v>4.5254726432368816E-2</v>
      </c>
      <c r="I326" s="1">
        <f t="shared" si="175"/>
        <v>0.13856839976916605</v>
      </c>
      <c r="J326" s="1">
        <f t="shared" si="175"/>
        <v>0.76034198772760275</v>
      </c>
      <c r="K326" s="1">
        <f t="shared" si="175"/>
        <v>4.5278926134128166E-3</v>
      </c>
    </row>
    <row r="327" spans="1:11" x14ac:dyDescent="0.25">
      <c r="A327" s="5" t="s">
        <v>5</v>
      </c>
      <c r="B327" s="5" t="str">
        <f t="shared" si="171"/>
        <v>SPS2</v>
      </c>
      <c r="C327" s="5" t="s">
        <v>7</v>
      </c>
      <c r="D327" t="s">
        <v>581</v>
      </c>
      <c r="E327" t="str">
        <f t="shared" si="164"/>
        <v>PJ/yr.</v>
      </c>
      <c r="F327" s="1">
        <f t="shared" ref="F327:K327" si="176">IFERROR(F99/F83,0)*F311</f>
        <v>0</v>
      </c>
      <c r="G327" s="1">
        <f t="shared" si="176"/>
        <v>0</v>
      </c>
      <c r="H327" s="1">
        <f t="shared" si="176"/>
        <v>0</v>
      </c>
      <c r="I327" s="1">
        <f t="shared" si="176"/>
        <v>0</v>
      </c>
      <c r="J327" s="1">
        <f t="shared" si="176"/>
        <v>4.7711064075739119E-3</v>
      </c>
      <c r="K327" s="1">
        <f t="shared" si="176"/>
        <v>1.2078678269511825E-3</v>
      </c>
    </row>
    <row r="328" spans="1:11" x14ac:dyDescent="0.25">
      <c r="A328" s="5" t="s">
        <v>5</v>
      </c>
      <c r="B328" s="5" t="str">
        <f t="shared" si="171"/>
        <v>SPS2</v>
      </c>
      <c r="C328" s="5" t="s">
        <v>7</v>
      </c>
      <c r="D328" t="s">
        <v>582</v>
      </c>
      <c r="E328" t="str">
        <f t="shared" si="164"/>
        <v>PJ/yr.</v>
      </c>
      <c r="F328" s="1">
        <f t="shared" ref="F328:K328" si="177">IFERROR(F100/F84,0)*F312</f>
        <v>1.2512088186002195</v>
      </c>
      <c r="G328" s="1">
        <f t="shared" si="177"/>
        <v>1.1020740433164145E-3</v>
      </c>
      <c r="H328" s="1">
        <f t="shared" si="177"/>
        <v>9.6521289496178525E-3</v>
      </c>
      <c r="I328" s="1">
        <f t="shared" si="177"/>
        <v>3.5020660080805038E-2</v>
      </c>
      <c r="J328" s="1">
        <f t="shared" si="177"/>
        <v>2.2834295254821418E-2</v>
      </c>
      <c r="K328" s="1">
        <f t="shared" si="177"/>
        <v>8.3966940688047763E-5</v>
      </c>
    </row>
    <row r="329" spans="1:11" x14ac:dyDescent="0.25">
      <c r="A329" s="5" t="s">
        <v>5</v>
      </c>
      <c r="B329" s="5" t="str">
        <f t="shared" si="171"/>
        <v>SPS2</v>
      </c>
      <c r="C329" s="5" t="s">
        <v>7</v>
      </c>
      <c r="D329" t="s">
        <v>583</v>
      </c>
      <c r="E329" t="str">
        <f t="shared" si="164"/>
        <v>PJ/yr.</v>
      </c>
      <c r="F329" s="1">
        <f t="shared" ref="F329:K329" si="178">IFERROR(F101/F85,0)*F313</f>
        <v>0</v>
      </c>
      <c r="G329" s="1">
        <f t="shared" si="178"/>
        <v>0</v>
      </c>
      <c r="H329" s="1">
        <f t="shared" si="178"/>
        <v>0</v>
      </c>
      <c r="I329" s="1">
        <f t="shared" si="178"/>
        <v>0</v>
      </c>
      <c r="J329" s="1">
        <f t="shared" si="178"/>
        <v>2.7889071954697826E-2</v>
      </c>
      <c r="K329" s="1">
        <f t="shared" si="178"/>
        <v>9.5574646100270565E-5</v>
      </c>
    </row>
    <row r="330" spans="1:11" x14ac:dyDescent="0.25">
      <c r="A330" s="5" t="s">
        <v>5</v>
      </c>
      <c r="B330" s="5" t="str">
        <f t="shared" si="171"/>
        <v>SPS2</v>
      </c>
      <c r="C330" s="5" t="s">
        <v>7</v>
      </c>
      <c r="D330" t="s">
        <v>584</v>
      </c>
      <c r="E330" t="str">
        <f t="shared" si="164"/>
        <v>PJ/yr.</v>
      </c>
      <c r="F330" s="1">
        <f t="shared" ref="F330:K330" si="179">IFERROR(F102/F86,0)*F314</f>
        <v>0.87038540714862933</v>
      </c>
      <c r="G330" s="1">
        <f t="shared" si="179"/>
        <v>0.27422955449014702</v>
      </c>
      <c r="H330" s="1">
        <f t="shared" si="179"/>
        <v>6.6838194934466313E-2</v>
      </c>
      <c r="I330" s="1">
        <f t="shared" si="179"/>
        <v>0.43206785894348315</v>
      </c>
      <c r="J330" s="1">
        <f t="shared" si="179"/>
        <v>1.7921199468734408</v>
      </c>
      <c r="K330" s="1">
        <f t="shared" si="179"/>
        <v>0.58031015004383413</v>
      </c>
    </row>
    <row r="331" spans="1:11" x14ac:dyDescent="0.25">
      <c r="A331" s="5" t="s">
        <v>5</v>
      </c>
      <c r="B331" s="5" t="str">
        <f t="shared" si="171"/>
        <v>SPS2</v>
      </c>
      <c r="C331" s="5" t="s">
        <v>7</v>
      </c>
      <c r="D331" t="s">
        <v>585</v>
      </c>
      <c r="E331" t="str">
        <f t="shared" si="164"/>
        <v>PJ/yr.</v>
      </c>
      <c r="F331" s="1">
        <f t="shared" ref="F331:K331" si="180">IFERROR(F103/F87,0)*F315</f>
        <v>0</v>
      </c>
      <c r="G331" s="1">
        <f t="shared" si="180"/>
        <v>0</v>
      </c>
      <c r="H331" s="1">
        <f t="shared" si="180"/>
        <v>0</v>
      </c>
      <c r="I331" s="1">
        <f t="shared" si="180"/>
        <v>0</v>
      </c>
      <c r="J331" s="1">
        <f t="shared" si="180"/>
        <v>2.0401413043957882E-3</v>
      </c>
      <c r="K331" s="1">
        <f t="shared" si="180"/>
        <v>0.22703501370395848</v>
      </c>
    </row>
    <row r="332" spans="1:11" x14ac:dyDescent="0.25">
      <c r="A332" s="5" t="s">
        <v>5</v>
      </c>
      <c r="B332" s="5" t="str">
        <f t="shared" si="171"/>
        <v>SPS2</v>
      </c>
      <c r="C332" s="5" t="s">
        <v>7</v>
      </c>
      <c r="D332" t="s">
        <v>586</v>
      </c>
      <c r="E332" t="str">
        <f t="shared" si="164"/>
        <v>PJ/yr.</v>
      </c>
      <c r="F332" s="1">
        <f t="shared" ref="F332:K332" si="181">IFERROR(F104/F88,0)*F316</f>
        <v>0</v>
      </c>
      <c r="G332" s="1">
        <f t="shared" si="181"/>
        <v>0</v>
      </c>
      <c r="H332" s="1">
        <f t="shared" si="181"/>
        <v>0</v>
      </c>
      <c r="I332" s="1">
        <f t="shared" si="181"/>
        <v>0</v>
      </c>
      <c r="J332" s="1">
        <f t="shared" si="181"/>
        <v>0</v>
      </c>
      <c r="K332" s="1">
        <f t="shared" si="181"/>
        <v>0</v>
      </c>
    </row>
    <row r="333" spans="1:11" x14ac:dyDescent="0.25">
      <c r="A333" s="5" t="s">
        <v>5</v>
      </c>
      <c r="B333" s="5" t="str">
        <f t="shared" si="171"/>
        <v>SPS2</v>
      </c>
      <c r="C333" s="5" t="s">
        <v>7</v>
      </c>
      <c r="D333" t="s">
        <v>587</v>
      </c>
      <c r="E333" t="str">
        <f t="shared" si="164"/>
        <v>PJ/yr.</v>
      </c>
      <c r="F333" s="1">
        <f t="shared" ref="F333:K333" si="182">IFERROR(F105/F89,0)*F317</f>
        <v>3.8331503804224433E-2</v>
      </c>
      <c r="G333" s="1">
        <f t="shared" si="182"/>
        <v>2.3065400995107184E-3</v>
      </c>
      <c r="H333" s="1">
        <f t="shared" si="182"/>
        <v>3.3058457644509088E-3</v>
      </c>
      <c r="I333" s="1">
        <f t="shared" si="182"/>
        <v>2.7935664348780486E-2</v>
      </c>
      <c r="J333" s="1">
        <f t="shared" si="182"/>
        <v>1.6858914831725334E-3</v>
      </c>
      <c r="K333" s="1">
        <f t="shared" si="182"/>
        <v>4.8525121770359469E-5</v>
      </c>
    </row>
    <row r="334" spans="1:11" x14ac:dyDescent="0.25">
      <c r="A334" s="5" t="s">
        <v>5</v>
      </c>
      <c r="B334" s="5" t="str">
        <f t="shared" si="171"/>
        <v>SPS2</v>
      </c>
      <c r="C334" s="5" t="s">
        <v>7</v>
      </c>
      <c r="D334" t="s">
        <v>588</v>
      </c>
      <c r="E334" t="str">
        <f t="shared" si="164"/>
        <v>PJ/yr.</v>
      </c>
      <c r="F334" s="1">
        <f t="shared" ref="F334:K334" si="183">IFERROR(F106/F90,0)*F318</f>
        <v>0</v>
      </c>
      <c r="G334" s="1">
        <f t="shared" si="183"/>
        <v>0</v>
      </c>
      <c r="H334" s="1">
        <f t="shared" si="183"/>
        <v>0</v>
      </c>
      <c r="I334" s="1">
        <f t="shared" si="183"/>
        <v>6.0628310749503327E-4</v>
      </c>
      <c r="J334" s="1">
        <f t="shared" si="183"/>
        <v>1.345097277788667E-3</v>
      </c>
      <c r="K334" s="1">
        <f t="shared" si="183"/>
        <v>3.2499273345915292E-4</v>
      </c>
    </row>
    <row r="335" spans="1:11" x14ac:dyDescent="0.25">
      <c r="A335" s="5" t="s">
        <v>5</v>
      </c>
      <c r="B335" s="5" t="str">
        <f t="shared" si="171"/>
        <v>SPS2</v>
      </c>
      <c r="C335" s="5" t="s">
        <v>7</v>
      </c>
      <c r="D335" t="s">
        <v>589</v>
      </c>
      <c r="E335" t="str">
        <f t="shared" si="164"/>
        <v>PJ/yr.</v>
      </c>
      <c r="F335" s="1">
        <f t="shared" ref="F335:K335" si="184">IFERROR(F107/F91,0)*F319</f>
        <v>3.4817288560813293E-2</v>
      </c>
      <c r="G335" s="1">
        <f t="shared" si="184"/>
        <v>2.0886882573018318E-3</v>
      </c>
      <c r="H335" s="1">
        <f t="shared" si="184"/>
        <v>4.3881624949200868E-3</v>
      </c>
      <c r="I335" s="1">
        <f t="shared" si="184"/>
        <v>2.6564053226861124E-2</v>
      </c>
      <c r="J335" s="1">
        <f t="shared" si="184"/>
        <v>0.18348632866315456</v>
      </c>
      <c r="K335" s="1">
        <f t="shared" si="184"/>
        <v>6.1276068462015327E-5</v>
      </c>
    </row>
    <row r="336" spans="1:11" x14ac:dyDescent="0.25">
      <c r="A336" s="5" t="s">
        <v>5</v>
      </c>
      <c r="B336" s="5" t="str">
        <f t="shared" si="171"/>
        <v>SPS2</v>
      </c>
      <c r="C336" s="5" t="s">
        <v>7</v>
      </c>
      <c r="D336" t="s">
        <v>590</v>
      </c>
      <c r="E336" t="str">
        <f t="shared" si="164"/>
        <v>PJ/yr.</v>
      </c>
      <c r="F336" s="1">
        <f t="shared" ref="F336:K336" si="185">IFERROR(F108/F92,0)*F320</f>
        <v>0</v>
      </c>
      <c r="G336" s="1">
        <f t="shared" si="185"/>
        <v>0</v>
      </c>
      <c r="H336" s="1">
        <f t="shared" si="185"/>
        <v>0</v>
      </c>
      <c r="I336" s="1">
        <f t="shared" si="185"/>
        <v>1.4595072557721377E-3</v>
      </c>
      <c r="J336" s="1">
        <f t="shared" si="185"/>
        <v>4.7754089424106323E-3</v>
      </c>
      <c r="K336" s="1">
        <f t="shared" si="185"/>
        <v>4.980654562611762E-4</v>
      </c>
    </row>
    <row r="337" spans="1:11" x14ac:dyDescent="0.25">
      <c r="A337" s="5" t="s">
        <v>5</v>
      </c>
      <c r="B337" s="5" t="str">
        <f t="shared" si="171"/>
        <v>SPS2</v>
      </c>
      <c r="C337" s="5" t="s">
        <v>7</v>
      </c>
      <c r="D337" t="s">
        <v>591</v>
      </c>
      <c r="E337" t="str">
        <f t="shared" si="164"/>
        <v>PJ/yr.</v>
      </c>
      <c r="F337" s="1">
        <f t="shared" ref="F337:K337" si="186">IFERROR(F109/F93,0)*F321</f>
        <v>0</v>
      </c>
      <c r="G337" s="1">
        <f t="shared" si="186"/>
        <v>0</v>
      </c>
      <c r="H337" s="1">
        <f t="shared" si="186"/>
        <v>0</v>
      </c>
      <c r="I337" s="1">
        <f t="shared" si="186"/>
        <v>0</v>
      </c>
      <c r="J337" s="1">
        <f t="shared" si="186"/>
        <v>0</v>
      </c>
      <c r="K337" s="1">
        <f t="shared" si="186"/>
        <v>0</v>
      </c>
    </row>
    <row r="338" spans="1:11" x14ac:dyDescent="0.25">
      <c r="A338" s="5" t="s">
        <v>5</v>
      </c>
      <c r="B338" s="5" t="str">
        <f t="shared" si="171"/>
        <v>SPS2</v>
      </c>
      <c r="C338" s="5" t="s">
        <v>7</v>
      </c>
      <c r="D338" t="s">
        <v>592</v>
      </c>
      <c r="E338" t="str">
        <f t="shared" si="164"/>
        <v>PJ/yr.</v>
      </c>
      <c r="F338" s="1">
        <f t="shared" ref="F338:K338" si="187">IFERROR(F110/F94,0)*F322</f>
        <v>0.74995864504250687</v>
      </c>
      <c r="G338" s="1">
        <f t="shared" si="187"/>
        <v>0.76583928370384458</v>
      </c>
      <c r="H338" s="1">
        <f t="shared" si="187"/>
        <v>5.4496952156539357E-3</v>
      </c>
      <c r="I338" s="1">
        <f t="shared" si="187"/>
        <v>0.12858544780217407</v>
      </c>
      <c r="J338" s="1">
        <f t="shared" si="187"/>
        <v>1.2736034908129054E-3</v>
      </c>
      <c r="K338" s="1">
        <f t="shared" si="187"/>
        <v>7.9771800709165292E-5</v>
      </c>
    </row>
    <row r="339" spans="1:11" x14ac:dyDescent="0.25">
      <c r="A339" s="5" t="s">
        <v>5</v>
      </c>
      <c r="B339" s="5" t="str">
        <f t="shared" si="171"/>
        <v>SPS2</v>
      </c>
      <c r="C339" s="5" t="s">
        <v>7</v>
      </c>
      <c r="D339" t="s">
        <v>593</v>
      </c>
      <c r="E339" t="str">
        <f t="shared" si="164"/>
        <v>PJ/yr.</v>
      </c>
      <c r="F339" s="1">
        <f t="shared" ref="F339:K339" si="188">IFERROR(F111/F95,0)*F323</f>
        <v>0</v>
      </c>
      <c r="G339" s="1">
        <f t="shared" si="188"/>
        <v>0</v>
      </c>
      <c r="H339" s="1">
        <f t="shared" si="188"/>
        <v>0</v>
      </c>
      <c r="I339" s="1">
        <f t="shared" si="188"/>
        <v>3.0161426088101001E-4</v>
      </c>
      <c r="J339" s="1">
        <f t="shared" si="188"/>
        <v>2.0582484672003309E-3</v>
      </c>
      <c r="K339" s="1">
        <f t="shared" si="188"/>
        <v>1.4940366951409493E-4</v>
      </c>
    </row>
    <row r="340" spans="1:11" x14ac:dyDescent="0.25">
      <c r="A340" s="5" t="s">
        <v>5</v>
      </c>
      <c r="B340" s="5" t="str">
        <f t="shared" si="171"/>
        <v>SPS2</v>
      </c>
      <c r="C340" s="5" t="s">
        <v>7</v>
      </c>
      <c r="D340" t="s">
        <v>853</v>
      </c>
      <c r="E340" t="str">
        <f t="shared" si="164"/>
        <v>PJ/yr.</v>
      </c>
      <c r="F340" s="1">
        <f>SUM(F341:F355)</f>
        <v>1.1421818807979929</v>
      </c>
      <c r="G340" s="1">
        <f t="shared" ref="G340:K340" si="189">SUM(G341:G355)</f>
        <v>1.2895630081710081</v>
      </c>
      <c r="H340" s="1">
        <f t="shared" si="189"/>
        <v>1.3001764113239871</v>
      </c>
      <c r="I340" s="1">
        <f t="shared" si="189"/>
        <v>1.4110444999554843</v>
      </c>
      <c r="J340" s="1">
        <f t="shared" si="189"/>
        <v>2.2548269757972483</v>
      </c>
      <c r="K340" s="1">
        <f t="shared" si="189"/>
        <v>3.2117049857358317</v>
      </c>
    </row>
    <row r="341" spans="1:11" x14ac:dyDescent="0.25">
      <c r="A341" s="5" t="s">
        <v>5</v>
      </c>
      <c r="B341" s="5" t="str">
        <f t="shared" si="171"/>
        <v>SPS2</v>
      </c>
      <c r="C341" s="5" t="s">
        <v>7</v>
      </c>
      <c r="D341" t="s">
        <v>640</v>
      </c>
      <c r="E341" t="str">
        <f t="shared" si="164"/>
        <v>PJ/yr.</v>
      </c>
      <c r="F341" s="1">
        <f>F309-F325</f>
        <v>0</v>
      </c>
      <c r="G341" s="1">
        <f t="shared" ref="G341:K341" si="190">G309-G325</f>
        <v>0</v>
      </c>
      <c r="H341" s="1">
        <f t="shared" si="190"/>
        <v>0</v>
      </c>
      <c r="I341" s="1">
        <f t="shared" si="190"/>
        <v>0</v>
      </c>
      <c r="J341" s="1">
        <f t="shared" si="190"/>
        <v>1.3260249453577636E-2</v>
      </c>
      <c r="K341" s="1">
        <f t="shared" si="190"/>
        <v>9.7058823162455015E-4</v>
      </c>
    </row>
    <row r="342" spans="1:11" x14ac:dyDescent="0.25">
      <c r="A342" s="5" t="s">
        <v>5</v>
      </c>
      <c r="B342" s="5" t="str">
        <f t="shared" si="171"/>
        <v>SPS2</v>
      </c>
      <c r="C342" s="5" t="s">
        <v>7</v>
      </c>
      <c r="D342" t="s">
        <v>641</v>
      </c>
      <c r="E342" t="str">
        <f t="shared" si="164"/>
        <v>PJ/yr.</v>
      </c>
      <c r="F342" s="1">
        <f t="shared" ref="F342:K342" si="191">F310-F326</f>
        <v>0</v>
      </c>
      <c r="G342" s="1">
        <f t="shared" si="191"/>
        <v>7.7748785448636133E-5</v>
      </c>
      <c r="H342" s="1">
        <f t="shared" si="191"/>
        <v>6.6055001146918257E-5</v>
      </c>
      <c r="I342" s="1">
        <f t="shared" si="191"/>
        <v>5.3897820592219703E-3</v>
      </c>
      <c r="J342" s="1">
        <f t="shared" si="191"/>
        <v>0.18886195327168853</v>
      </c>
      <c r="K342" s="1">
        <f t="shared" si="191"/>
        <v>9.490106904276728E-3</v>
      </c>
    </row>
    <row r="343" spans="1:11" x14ac:dyDescent="0.25">
      <c r="A343" s="5" t="s">
        <v>5</v>
      </c>
      <c r="B343" s="5" t="str">
        <f t="shared" si="171"/>
        <v>SPS2</v>
      </c>
      <c r="C343" s="5" t="s">
        <v>7</v>
      </c>
      <c r="D343" t="s">
        <v>642</v>
      </c>
      <c r="E343" t="str">
        <f t="shared" si="164"/>
        <v>PJ/yr.</v>
      </c>
      <c r="F343" s="1">
        <f t="shared" ref="F343:K343" si="192">F311-F327</f>
        <v>0</v>
      </c>
      <c r="G343" s="1">
        <f t="shared" si="192"/>
        <v>0</v>
      </c>
      <c r="H343" s="1">
        <f t="shared" si="192"/>
        <v>0</v>
      </c>
      <c r="I343" s="1">
        <f t="shared" si="192"/>
        <v>0</v>
      </c>
      <c r="J343" s="1">
        <f t="shared" si="192"/>
        <v>1.1850989290943846E-3</v>
      </c>
      <c r="K343" s="1">
        <f t="shared" si="192"/>
        <v>2.5315959945797547E-3</v>
      </c>
    </row>
    <row r="344" spans="1:11" x14ac:dyDescent="0.25">
      <c r="A344" s="5" t="s">
        <v>5</v>
      </c>
      <c r="B344" s="5" t="str">
        <f t="shared" si="171"/>
        <v>SPS2</v>
      </c>
      <c r="C344" s="5" t="s">
        <v>7</v>
      </c>
      <c r="D344" t="s">
        <v>643</v>
      </c>
      <c r="E344" t="str">
        <f t="shared" si="164"/>
        <v>PJ/yr.</v>
      </c>
      <c r="F344" s="1">
        <f t="shared" ref="F344:K344" si="193">F312-F328</f>
        <v>3.2921695741157109E-2</v>
      </c>
      <c r="G344" s="1">
        <f t="shared" si="193"/>
        <v>3.6051730344411085E-5</v>
      </c>
      <c r="H344" s="1">
        <f t="shared" si="193"/>
        <v>1.4088503877933076E-5</v>
      </c>
      <c r="I344" s="1">
        <f t="shared" si="193"/>
        <v>1.3621700598409753E-3</v>
      </c>
      <c r="J344" s="1">
        <f t="shared" si="193"/>
        <v>5.6718288257323161E-3</v>
      </c>
      <c r="K344" s="1">
        <f t="shared" si="193"/>
        <v>1.7598810563531045E-4</v>
      </c>
    </row>
    <row r="345" spans="1:11" x14ac:dyDescent="0.25">
      <c r="A345" s="5" t="s">
        <v>5</v>
      </c>
      <c r="B345" s="5" t="str">
        <f t="shared" si="171"/>
        <v>SPS2</v>
      </c>
      <c r="C345" s="5" t="s">
        <v>7</v>
      </c>
      <c r="D345" t="s">
        <v>644</v>
      </c>
      <c r="E345" t="str">
        <f t="shared" si="164"/>
        <v>PJ/yr.</v>
      </c>
      <c r="F345" s="1">
        <f t="shared" ref="F345:K345" si="194">F313-F329</f>
        <v>0</v>
      </c>
      <c r="G345" s="1">
        <f t="shared" si="194"/>
        <v>0</v>
      </c>
      <c r="H345" s="1">
        <f t="shared" si="194"/>
        <v>0</v>
      </c>
      <c r="I345" s="1">
        <f t="shared" si="194"/>
        <v>0</v>
      </c>
      <c r="J345" s="1">
        <f t="shared" si="194"/>
        <v>6.9273888451704228E-3</v>
      </c>
      <c r="K345" s="1">
        <f t="shared" si="194"/>
        <v>2.0031694350329071E-4</v>
      </c>
    </row>
    <row r="346" spans="1:11" x14ac:dyDescent="0.25">
      <c r="A346" s="5" t="s">
        <v>5</v>
      </c>
      <c r="B346" s="5" t="str">
        <f t="shared" si="171"/>
        <v>SPS2</v>
      </c>
      <c r="C346" s="5" t="s">
        <v>7</v>
      </c>
      <c r="D346" t="s">
        <v>645</v>
      </c>
      <c r="E346" t="str">
        <f t="shared" si="164"/>
        <v>PJ/yr.</v>
      </c>
      <c r="F346" s="1">
        <f t="shared" ref="F346:K346" si="195">F314-F330</f>
        <v>2.2901503830309866E-2</v>
      </c>
      <c r="G346" s="1">
        <f t="shared" si="195"/>
        <v>8.9707674460746678E-3</v>
      </c>
      <c r="H346" s="1">
        <f t="shared" si="195"/>
        <v>9.7558805258773917E-5</v>
      </c>
      <c r="I346" s="1">
        <f t="shared" si="195"/>
        <v>1.680579120765896E-2</v>
      </c>
      <c r="J346" s="1">
        <f t="shared" si="195"/>
        <v>0.44514610415665934</v>
      </c>
      <c r="K346" s="1">
        <f t="shared" si="195"/>
        <v>1.2162844465964264</v>
      </c>
    </row>
    <row r="347" spans="1:11" x14ac:dyDescent="0.25">
      <c r="A347" s="5" t="s">
        <v>5</v>
      </c>
      <c r="B347" s="5" t="str">
        <f t="shared" si="171"/>
        <v>SPS2</v>
      </c>
      <c r="C347" s="5" t="s">
        <v>7</v>
      </c>
      <c r="D347" t="s">
        <v>646</v>
      </c>
      <c r="E347" t="str">
        <f t="shared" si="164"/>
        <v>PJ/yr.</v>
      </c>
      <c r="F347" s="1">
        <f t="shared" ref="F347:K347" si="196">F315-F331</f>
        <v>0</v>
      </c>
      <c r="G347" s="1">
        <f t="shared" si="196"/>
        <v>0</v>
      </c>
      <c r="H347" s="1">
        <f t="shared" si="196"/>
        <v>0</v>
      </c>
      <c r="I347" s="1">
        <f t="shared" si="196"/>
        <v>0</v>
      </c>
      <c r="J347" s="1">
        <f t="shared" si="196"/>
        <v>5.0675232713371732E-4</v>
      </c>
      <c r="K347" s="1">
        <f t="shared" si="196"/>
        <v>0.47584753770043964</v>
      </c>
    </row>
    <row r="348" spans="1:11" x14ac:dyDescent="0.25">
      <c r="A348" s="5" t="s">
        <v>5</v>
      </c>
      <c r="B348" s="5" t="str">
        <f t="shared" si="171"/>
        <v>SPS2</v>
      </c>
      <c r="C348" s="5" t="s">
        <v>7</v>
      </c>
      <c r="D348" t="s">
        <v>647</v>
      </c>
      <c r="E348" t="str">
        <f t="shared" si="164"/>
        <v>PJ/yr.</v>
      </c>
      <c r="F348" s="1">
        <f t="shared" ref="F348:K348" si="197">F316-F332</f>
        <v>0</v>
      </c>
      <c r="G348" s="1">
        <f t="shared" si="197"/>
        <v>0</v>
      </c>
      <c r="H348" s="1">
        <f t="shared" si="197"/>
        <v>0</v>
      </c>
      <c r="I348" s="1">
        <f t="shared" si="197"/>
        <v>0</v>
      </c>
      <c r="J348" s="1">
        <f t="shared" si="197"/>
        <v>0</v>
      </c>
      <c r="K348" s="1">
        <f t="shared" si="197"/>
        <v>0</v>
      </c>
    </row>
    <row r="349" spans="1:11" x14ac:dyDescent="0.25">
      <c r="A349" s="5" t="s">
        <v>5</v>
      </c>
      <c r="B349" s="5" t="str">
        <f t="shared" si="171"/>
        <v>SPS2</v>
      </c>
      <c r="C349" s="5" t="s">
        <v>7</v>
      </c>
      <c r="D349" t="s">
        <v>648</v>
      </c>
      <c r="E349" t="str">
        <f t="shared" si="164"/>
        <v>PJ/yr.</v>
      </c>
      <c r="F349" s="1">
        <f t="shared" ref="F349:K349" si="198">F317-F333</f>
        <v>1.0085751369267593E-3</v>
      </c>
      <c r="G349" s="1">
        <f t="shared" si="198"/>
        <v>7.5452971785723664E-5</v>
      </c>
      <c r="H349" s="1">
        <f t="shared" si="198"/>
        <v>4.8253003161712049E-6</v>
      </c>
      <c r="I349" s="1">
        <f t="shared" si="198"/>
        <v>1.0865907578519012E-3</v>
      </c>
      <c r="J349" s="1">
        <f t="shared" si="198"/>
        <v>4.1875993126153348E-4</v>
      </c>
      <c r="K349" s="1">
        <f t="shared" si="198"/>
        <v>1.0170483985852687E-4</v>
      </c>
    </row>
    <row r="350" spans="1:11" x14ac:dyDescent="0.25">
      <c r="A350" s="5" t="s">
        <v>5</v>
      </c>
      <c r="B350" s="5" t="str">
        <f t="shared" si="171"/>
        <v>SPS2</v>
      </c>
      <c r="C350" s="5" t="s">
        <v>7</v>
      </c>
      <c r="D350" t="s">
        <v>649</v>
      </c>
      <c r="E350" t="str">
        <f t="shared" si="164"/>
        <v>PJ/yr.</v>
      </c>
      <c r="F350" s="1">
        <f t="shared" ref="F350:K350" si="199">F318-F334</f>
        <v>0</v>
      </c>
      <c r="G350" s="1">
        <f t="shared" si="199"/>
        <v>0</v>
      </c>
      <c r="H350" s="1">
        <f t="shared" si="199"/>
        <v>0</v>
      </c>
      <c r="I350" s="1">
        <f t="shared" si="199"/>
        <v>2.3582099678062319E-5</v>
      </c>
      <c r="J350" s="1">
        <f t="shared" si="199"/>
        <v>3.3410978654858838E-4</v>
      </c>
      <c r="K350" s="1">
        <f t="shared" si="199"/>
        <v>6.8115921621113773E-4</v>
      </c>
    </row>
    <row r="351" spans="1:11" x14ac:dyDescent="0.25">
      <c r="A351" s="5" t="s">
        <v>5</v>
      </c>
      <c r="B351" s="5" t="str">
        <f t="shared" si="171"/>
        <v>SPS2</v>
      </c>
      <c r="C351" s="5" t="s">
        <v>7</v>
      </c>
      <c r="D351" t="s">
        <v>650</v>
      </c>
      <c r="E351" t="str">
        <f t="shared" si="164"/>
        <v>PJ/yr.</v>
      </c>
      <c r="F351" s="1">
        <f t="shared" ref="F351:K351" si="200">F319-F335</f>
        <v>9.1610941634308329E-4</v>
      </c>
      <c r="G351" s="1">
        <f t="shared" si="200"/>
        <v>6.832646706675426E-5</v>
      </c>
      <c r="H351" s="1">
        <f t="shared" si="200"/>
        <v>6.4050785737925636E-6</v>
      </c>
      <c r="I351" s="1">
        <f t="shared" si="200"/>
        <v>1.0332403184337806E-3</v>
      </c>
      <c r="J351" s="1">
        <f t="shared" si="200"/>
        <v>4.5576315643887921E-2</v>
      </c>
      <c r="K351" s="1">
        <f t="shared" si="200"/>
        <v>1.2842982155886372E-4</v>
      </c>
    </row>
    <row r="352" spans="1:11" x14ac:dyDescent="0.25">
      <c r="A352" s="5" t="s">
        <v>5</v>
      </c>
      <c r="B352" s="5" t="str">
        <f t="shared" si="171"/>
        <v>SPS2</v>
      </c>
      <c r="C352" s="5" t="s">
        <v>7</v>
      </c>
      <c r="D352" t="s">
        <v>651</v>
      </c>
      <c r="E352" t="str">
        <f t="shared" si="164"/>
        <v>PJ/yr.</v>
      </c>
      <c r="F352" s="1">
        <f t="shared" ref="F352:K352" si="201">F320-F336</f>
        <v>0</v>
      </c>
      <c r="G352" s="1">
        <f t="shared" si="201"/>
        <v>0</v>
      </c>
      <c r="H352" s="1">
        <f t="shared" si="201"/>
        <v>0</v>
      </c>
      <c r="I352" s="1">
        <f t="shared" si="201"/>
        <v>5.6769263667395993E-5</v>
      </c>
      <c r="J352" s="1">
        <f t="shared" si="201"/>
        <v>1.1861676391569601E-3</v>
      </c>
      <c r="K352" s="1">
        <f t="shared" si="201"/>
        <v>1.043906035060153E-3</v>
      </c>
    </row>
    <row r="353" spans="1:15" x14ac:dyDescent="0.25">
      <c r="A353" s="5" t="s">
        <v>5</v>
      </c>
      <c r="B353" s="5" t="str">
        <f t="shared" si="171"/>
        <v>SPS2</v>
      </c>
      <c r="C353" s="5" t="s">
        <v>7</v>
      </c>
      <c r="D353" t="s">
        <v>652</v>
      </c>
      <c r="E353" t="str">
        <f t="shared" si="164"/>
        <v>PJ/yr.</v>
      </c>
      <c r="F353" s="1">
        <f t="shared" ref="F353:K353" si="202">F321-F337</f>
        <v>1.0647011511533839</v>
      </c>
      <c r="G353" s="1">
        <f t="shared" si="202"/>
        <v>1.2552820506387914</v>
      </c>
      <c r="H353" s="1">
        <f t="shared" si="202"/>
        <v>1.2999795241148751</v>
      </c>
      <c r="I353" s="1">
        <f t="shared" si="202"/>
        <v>1.380273359228646</v>
      </c>
      <c r="J353" s="1">
        <f t="shared" si="202"/>
        <v>1.5449246456198482</v>
      </c>
      <c r="K353" s="1">
        <f t="shared" si="202"/>
        <v>1.5037688715803892</v>
      </c>
    </row>
    <row r="354" spans="1:15" x14ac:dyDescent="0.25">
      <c r="A354" s="5" t="s">
        <v>5</v>
      </c>
      <c r="B354" s="5" t="str">
        <f t="shared" si="171"/>
        <v>SPS2</v>
      </c>
      <c r="C354" s="5" t="s">
        <v>7</v>
      </c>
      <c r="D354" t="s">
        <v>653</v>
      </c>
      <c r="E354" t="str">
        <f t="shared" si="164"/>
        <v>PJ/yr.</v>
      </c>
      <c r="F354" s="1">
        <f t="shared" ref="F354:K354" si="203">F322-F338</f>
        <v>1.97328455198722E-2</v>
      </c>
      <c r="G354" s="1">
        <f t="shared" si="203"/>
        <v>2.50526101314964E-2</v>
      </c>
      <c r="H354" s="1">
        <f t="shared" si="203"/>
        <v>7.9545199385610763E-6</v>
      </c>
      <c r="I354" s="1">
        <f t="shared" si="203"/>
        <v>5.0014833165114847E-3</v>
      </c>
      <c r="J354" s="1">
        <f t="shared" si="203"/>
        <v>3.1635138773204166E-4</v>
      </c>
      <c r="K354" s="1">
        <f t="shared" si="203"/>
        <v>1.6719542208975429E-4</v>
      </c>
    </row>
    <row r="355" spans="1:15" x14ac:dyDescent="0.25">
      <c r="A355" s="5" t="s">
        <v>5</v>
      </c>
      <c r="B355" s="5" t="str">
        <f t="shared" si="171"/>
        <v>SPS2</v>
      </c>
      <c r="C355" s="5" t="s">
        <v>7</v>
      </c>
      <c r="D355" t="s">
        <v>654</v>
      </c>
      <c r="E355" t="str">
        <f t="shared" si="164"/>
        <v>PJ/yr.</v>
      </c>
      <c r="F355" s="1">
        <f t="shared" ref="F355:K355" si="204">F323-F339</f>
        <v>0</v>
      </c>
      <c r="G355" s="1">
        <f t="shared" si="204"/>
        <v>0</v>
      </c>
      <c r="H355" s="1">
        <f t="shared" si="204"/>
        <v>0</v>
      </c>
      <c r="I355" s="1">
        <f t="shared" si="204"/>
        <v>1.1731643973734377E-5</v>
      </c>
      <c r="J355" s="1">
        <f t="shared" si="204"/>
        <v>5.1124997975670987E-4</v>
      </c>
      <c r="K355" s="1">
        <f t="shared" si="204"/>
        <v>3.1313834417802307E-4</v>
      </c>
    </row>
    <row r="356" spans="1:15" x14ac:dyDescent="0.25">
      <c r="A356" s="5" t="s">
        <v>5</v>
      </c>
      <c r="B356" s="5" t="str">
        <f t="shared" si="171"/>
        <v>SPS2</v>
      </c>
      <c r="C356" s="5" t="s">
        <v>7</v>
      </c>
      <c r="D356" t="s">
        <v>854</v>
      </c>
      <c r="E356" t="str">
        <f t="shared" ref="E356:E406" si="205">E355</f>
        <v>PJ/yr.</v>
      </c>
      <c r="F356" s="1">
        <f>SUM(F357:F362)</f>
        <v>22.495508840744659</v>
      </c>
      <c r="G356" s="1">
        <f t="shared" ref="G356:K356" si="206">SUM(G357:G362)</f>
        <v>24.715829643327879</v>
      </c>
      <c r="H356" s="1">
        <f t="shared" si="206"/>
        <v>25.521247499138955</v>
      </c>
      <c r="I356" s="1">
        <f t="shared" si="206"/>
        <v>26.729561949893871</v>
      </c>
      <c r="J356" s="1">
        <f t="shared" si="206"/>
        <v>29.100282205392553</v>
      </c>
      <c r="K356" s="1">
        <f t="shared" si="206"/>
        <v>36.634911266071711</v>
      </c>
    </row>
    <row r="357" spans="1:15" x14ac:dyDescent="0.25">
      <c r="A357" s="5" t="s">
        <v>5</v>
      </c>
      <c r="B357" s="5" t="str">
        <f t="shared" si="171"/>
        <v>SPS2</v>
      </c>
      <c r="C357" s="5" t="s">
        <v>7</v>
      </c>
      <c r="D357" t="s">
        <v>113</v>
      </c>
      <c r="E357" t="str">
        <f t="shared" si="205"/>
        <v>PJ/yr.</v>
      </c>
      <c r="F357" s="1">
        <f>'[1]Electricity and CHPs_IN'!B$19</f>
        <v>18.203591765677654</v>
      </c>
      <c r="G357" s="1">
        <f>'[1]Electricity and CHPs_IN'!C$19</f>
        <v>20.598456978277838</v>
      </c>
      <c r="H357" s="1">
        <f>'[1]Electricity and CHPs_IN'!D$19</f>
        <v>21.195291001000978</v>
      </c>
      <c r="I357" s="1">
        <f>'[1]Electricity and CHPs_IN'!E$19</f>
        <v>21.880430912829709</v>
      </c>
      <c r="J357" s="1">
        <f>'[1]Electricity and CHPs_IN'!F$19</f>
        <v>19.280943666935947</v>
      </c>
      <c r="K357" s="1">
        <f>'[1]Electricity and CHPs_IN'!G$19</f>
        <v>14.34122434924412</v>
      </c>
      <c r="O357" s="1"/>
    </row>
    <row r="358" spans="1:15" x14ac:dyDescent="0.25">
      <c r="A358" s="5" t="s">
        <v>5</v>
      </c>
      <c r="B358" s="5" t="str">
        <f t="shared" si="171"/>
        <v>SPS2</v>
      </c>
      <c r="C358" s="5" t="s">
        <v>7</v>
      </c>
      <c r="D358" t="s">
        <v>114</v>
      </c>
      <c r="E358" t="str">
        <f t="shared" si="205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4.2229875879645213</v>
      </c>
      <c r="K358" s="1">
        <f>'[1]Electricity and CHPs_IN'!G$20</f>
        <v>14.340204344817044</v>
      </c>
      <c r="O358" s="1"/>
    </row>
    <row r="359" spans="1:15" x14ac:dyDescent="0.25">
      <c r="A359" s="5" t="s">
        <v>5</v>
      </c>
      <c r="B359" s="5" t="str">
        <f t="shared" si="171"/>
        <v>SPS2</v>
      </c>
      <c r="C359" s="5" t="s">
        <v>7</v>
      </c>
      <c r="D359" t="s">
        <v>115</v>
      </c>
      <c r="E359" t="str">
        <f t="shared" si="205"/>
        <v>PJ/yr.</v>
      </c>
      <c r="F359" s="1">
        <f>IFERROR(F131/SUM(F131,F196),0)*'[1]Electricity and CHPs_IN'!B$26</f>
        <v>3.8974732245984316</v>
      </c>
      <c r="G359" s="1">
        <f>IFERROR(G131/SUM(G131,G196),0)*'[1]Electricity and CHPs_IN'!C$26</f>
        <v>3.6908974098859875</v>
      </c>
      <c r="H359" s="1">
        <f>IFERROR(H131/SUM(H131,H196),0)*'[1]Electricity and CHPs_IN'!D$26</f>
        <v>3.6922967019351076</v>
      </c>
      <c r="I359" s="1">
        <f>IFERROR(I131/SUM(I131,I196),0)*'[1]Electricity and CHPs_IN'!E$26</f>
        <v>4.1053207488357293</v>
      </c>
      <c r="J359" s="1">
        <f>IFERROR(J131/SUM(J131,J196),0)*'[1]Electricity and CHPs_IN'!F$26</f>
        <v>4.2522682397803253</v>
      </c>
      <c r="K359" s="1">
        <f>IFERROR(K131/SUM(K131,K196),0)*'[1]Electricity and CHPs_IN'!G$26</f>
        <v>3.8144286820691371</v>
      </c>
    </row>
    <row r="360" spans="1:15" x14ac:dyDescent="0.25">
      <c r="A360" s="5" t="s">
        <v>5</v>
      </c>
      <c r="B360" s="5" t="str">
        <f t="shared" si="171"/>
        <v>SPS2</v>
      </c>
      <c r="C360" s="5" t="s">
        <v>7</v>
      </c>
      <c r="D360" t="s">
        <v>116</v>
      </c>
      <c r="E360" t="str">
        <f t="shared" si="205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0.47203303659415174</v>
      </c>
      <c r="K360" s="1">
        <f>IFERROR(K132/SUM(K132,K197),0)*'[1]Electricity and CHPs_IN'!G$27</f>
        <v>1.472633327273835</v>
      </c>
    </row>
    <row r="361" spans="1:15" x14ac:dyDescent="0.25">
      <c r="A361" s="5" t="s">
        <v>5</v>
      </c>
      <c r="B361" s="5" t="str">
        <f t="shared" si="171"/>
        <v>SPS2</v>
      </c>
      <c r="C361" s="5" t="s">
        <v>7</v>
      </c>
      <c r="D361" t="s">
        <v>117</v>
      </c>
      <c r="E361" t="str">
        <f t="shared" si="205"/>
        <v>PJ/yr.</v>
      </c>
      <c r="F361" s="1">
        <f>IFERROR(F133/SUM(F133,F272),0)*'[1]Electricity and CHPs_IN'!B$44</f>
        <v>0.39444385046857189</v>
      </c>
      <c r="G361" s="1">
        <f>IFERROR(G133/SUM(G133,G272),0)*'[1]Electricity and CHPs_IN'!C$44</f>
        <v>0.42647525516405288</v>
      </c>
      <c r="H361" s="1">
        <f>IFERROR(H133/SUM(H133,H272),0)*'[1]Electricity and CHPs_IN'!D$44</f>
        <v>0.63365979620286883</v>
      </c>
      <c r="I361" s="1">
        <f>IFERROR(I133/SUM(I133,I272),0)*'[1]Electricity and CHPs_IN'!E$44</f>
        <v>0.74381028822843021</v>
      </c>
      <c r="J361" s="1">
        <f>IFERROR(J133/SUM(J133,J272),0)*'[1]Electricity and CHPs_IN'!F$44</f>
        <v>0.35953639271035742</v>
      </c>
      <c r="K361" s="1">
        <f>IFERROR(K133/SUM(K133,K272),0)*'[1]Electricity and CHPs_IN'!G$44</f>
        <v>1.6548096391289641E-4</v>
      </c>
    </row>
    <row r="362" spans="1:15" x14ac:dyDescent="0.25">
      <c r="A362" s="5" t="s">
        <v>5</v>
      </c>
      <c r="B362" s="5" t="str">
        <f t="shared" si="171"/>
        <v>SPS2</v>
      </c>
      <c r="C362" s="5" t="s">
        <v>7</v>
      </c>
      <c r="D362" t="s">
        <v>118</v>
      </c>
      <c r="E362" t="str">
        <f t="shared" si="205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0.51251328140725139</v>
      </c>
      <c r="K362" s="1">
        <f>IFERROR(K134/SUM(K134,K273),0)*'[1]Electricity and CHPs_IN'!G$45</f>
        <v>2.6662550817036568</v>
      </c>
      <c r="O362" s="4"/>
    </row>
    <row r="363" spans="1:15" x14ac:dyDescent="0.25">
      <c r="A363" s="5" t="s">
        <v>5</v>
      </c>
      <c r="B363" s="5" t="str">
        <f t="shared" si="171"/>
        <v>SPS2</v>
      </c>
      <c r="C363" s="5" t="s">
        <v>7</v>
      </c>
      <c r="D363" t="s">
        <v>855</v>
      </c>
      <c r="E363" t="str">
        <f t="shared" si="205"/>
        <v>PJ/yr.</v>
      </c>
      <c r="F363" s="1">
        <f>SUM(F364:F367)</f>
        <v>11.050532495138043</v>
      </c>
      <c r="G363" s="1">
        <f t="shared" ref="G363:K363" si="207">SUM(G364:G367)</f>
        <v>12.144677194081913</v>
      </c>
      <c r="H363" s="1">
        <f t="shared" si="207"/>
        <v>12.443793851468042</v>
      </c>
      <c r="I363" s="1">
        <f t="shared" si="207"/>
        <v>12.99287583083272</v>
      </c>
      <c r="J363" s="1">
        <f t="shared" si="207"/>
        <v>14.114116265637472</v>
      </c>
      <c r="K363" s="1">
        <f t="shared" si="207"/>
        <v>16.984245351702064</v>
      </c>
      <c r="O363" s="7"/>
    </row>
    <row r="364" spans="1:15" x14ac:dyDescent="0.25">
      <c r="A364" s="5" t="s">
        <v>5</v>
      </c>
      <c r="B364" s="5" t="str">
        <f t="shared" si="171"/>
        <v>SPS2</v>
      </c>
      <c r="C364" s="5" t="s">
        <v>7</v>
      </c>
      <c r="D364" t="s">
        <v>119</v>
      </c>
      <c r="E364" t="str">
        <f t="shared" si="205"/>
        <v>PJ/yr.</v>
      </c>
      <c r="F364" s="1">
        <f>F357*IFERROR(F136/F129,0)</f>
        <v>9.101795882838827</v>
      </c>
      <c r="G364" s="1">
        <f t="shared" ref="G364:K364" si="208">G357*IFERROR(G136/G129,0)</f>
        <v>10.299228489138919</v>
      </c>
      <c r="H364" s="1">
        <f t="shared" si="208"/>
        <v>10.597645500500489</v>
      </c>
      <c r="I364" s="1">
        <f t="shared" si="208"/>
        <v>10.940215456414855</v>
      </c>
      <c r="J364" s="1">
        <f t="shared" si="208"/>
        <v>9.6404718334679735</v>
      </c>
      <c r="K364" s="1">
        <f t="shared" si="208"/>
        <v>7.1706121746220584</v>
      </c>
      <c r="O364" s="1"/>
    </row>
    <row r="365" spans="1:15" x14ac:dyDescent="0.25">
      <c r="A365" s="5" t="s">
        <v>5</v>
      </c>
      <c r="B365" s="5" t="str">
        <f t="shared" si="171"/>
        <v>SPS2</v>
      </c>
      <c r="C365" s="5" t="s">
        <v>7</v>
      </c>
      <c r="D365" t="s">
        <v>120</v>
      </c>
      <c r="E365" t="str">
        <f t="shared" si="205"/>
        <v>PJ/yr.</v>
      </c>
      <c r="F365" s="1">
        <f t="shared" ref="F365:K365" si="209">F358*IFERROR(F137/F130,0)</f>
        <v>0</v>
      </c>
      <c r="G365" s="1">
        <f t="shared" si="209"/>
        <v>0</v>
      </c>
      <c r="H365" s="1">
        <f t="shared" si="209"/>
        <v>0</v>
      </c>
      <c r="I365" s="1">
        <f t="shared" si="209"/>
        <v>0</v>
      </c>
      <c r="J365" s="1">
        <f t="shared" si="209"/>
        <v>2.1114937939822607</v>
      </c>
      <c r="K365" s="1">
        <f t="shared" si="209"/>
        <v>7.1701021724085221</v>
      </c>
    </row>
    <row r="366" spans="1:15" x14ac:dyDescent="0.25">
      <c r="A366" s="5" t="s">
        <v>5</v>
      </c>
      <c r="B366" s="5" t="str">
        <f t="shared" si="171"/>
        <v>SPS2</v>
      </c>
      <c r="C366" s="5" t="s">
        <v>7</v>
      </c>
      <c r="D366" t="s">
        <v>121</v>
      </c>
      <c r="E366" t="str">
        <f t="shared" si="205"/>
        <v>PJ/yr.</v>
      </c>
      <c r="F366" s="1">
        <f t="shared" ref="F366:K366" si="210">F359*IFERROR(F138/F131,0)</f>
        <v>1.9487366122992158</v>
      </c>
      <c r="G366" s="1">
        <f t="shared" si="210"/>
        <v>1.8454487049429937</v>
      </c>
      <c r="H366" s="1">
        <f t="shared" si="210"/>
        <v>1.8461483509675538</v>
      </c>
      <c r="I366" s="1">
        <f t="shared" si="210"/>
        <v>2.0526603744178646</v>
      </c>
      <c r="J366" s="1">
        <f t="shared" si="210"/>
        <v>2.1261341198901627</v>
      </c>
      <c r="K366" s="1">
        <f t="shared" si="210"/>
        <v>1.9072143410345685</v>
      </c>
    </row>
    <row r="367" spans="1:15" x14ac:dyDescent="0.25">
      <c r="A367" s="5" t="s">
        <v>5</v>
      </c>
      <c r="B367" s="5" t="str">
        <f t="shared" si="171"/>
        <v>SPS2</v>
      </c>
      <c r="C367" s="5" t="s">
        <v>7</v>
      </c>
      <c r="D367" t="s">
        <v>122</v>
      </c>
      <c r="E367" t="str">
        <f t="shared" si="205"/>
        <v>PJ/yr.</v>
      </c>
      <c r="F367" s="1">
        <f t="shared" ref="F367:K367" si="211">F360*IFERROR(F139/F132,0)</f>
        <v>0</v>
      </c>
      <c r="G367" s="1">
        <f t="shared" si="211"/>
        <v>0</v>
      </c>
      <c r="H367" s="1">
        <f t="shared" si="211"/>
        <v>0</v>
      </c>
      <c r="I367" s="1">
        <f t="shared" si="211"/>
        <v>0</v>
      </c>
      <c r="J367" s="1">
        <f t="shared" si="211"/>
        <v>0.23601651829707587</v>
      </c>
      <c r="K367" s="1">
        <f t="shared" si="211"/>
        <v>0.7363166636369175</v>
      </c>
    </row>
    <row r="368" spans="1:15" x14ac:dyDescent="0.25">
      <c r="A368" s="5" t="s">
        <v>5</v>
      </c>
      <c r="B368" s="5" t="str">
        <f t="shared" si="171"/>
        <v>SPS2</v>
      </c>
      <c r="C368" s="5" t="s">
        <v>7</v>
      </c>
      <c r="D368" t="s">
        <v>123</v>
      </c>
      <c r="E368" t="str">
        <f t="shared" si="205"/>
        <v>PJ/yr.</v>
      </c>
      <c r="F368" s="1">
        <f t="shared" ref="F368:K368" si="212">F361*IFERROR(F140/F133,0)</f>
        <v>0</v>
      </c>
      <c r="G368" s="1">
        <f t="shared" si="212"/>
        <v>0</v>
      </c>
      <c r="H368" s="1">
        <f t="shared" si="212"/>
        <v>0</v>
      </c>
      <c r="I368" s="1">
        <f t="shared" si="212"/>
        <v>0</v>
      </c>
      <c r="J368" s="1">
        <f t="shared" si="212"/>
        <v>0</v>
      </c>
      <c r="K368" s="1">
        <f t="shared" si="212"/>
        <v>0</v>
      </c>
    </row>
    <row r="369" spans="1:15" x14ac:dyDescent="0.25">
      <c r="A369" s="5" t="s">
        <v>5</v>
      </c>
      <c r="B369" s="5" t="str">
        <f t="shared" si="171"/>
        <v>SPS2</v>
      </c>
      <c r="C369" s="5" t="s">
        <v>7</v>
      </c>
      <c r="D369" t="s">
        <v>124</v>
      </c>
      <c r="E369" t="str">
        <f t="shared" si="205"/>
        <v>PJ/yr.</v>
      </c>
      <c r="F369" s="1">
        <f t="shared" ref="F369:K369" si="213">F362*IFERROR(F141/F134,0)</f>
        <v>0</v>
      </c>
      <c r="G369" s="1">
        <f t="shared" si="213"/>
        <v>0</v>
      </c>
      <c r="H369" s="1">
        <f t="shared" si="213"/>
        <v>0</v>
      </c>
      <c r="I369" s="1">
        <f t="shared" si="213"/>
        <v>0</v>
      </c>
      <c r="J369" s="1">
        <f t="shared" si="213"/>
        <v>0</v>
      </c>
      <c r="K369" s="1">
        <f t="shared" si="213"/>
        <v>0</v>
      </c>
    </row>
    <row r="370" spans="1:15" x14ac:dyDescent="0.25">
      <c r="A370" s="5" t="s">
        <v>5</v>
      </c>
      <c r="B370" s="5" t="str">
        <f t="shared" si="171"/>
        <v>SPS2</v>
      </c>
      <c r="C370" s="5" t="s">
        <v>7</v>
      </c>
      <c r="D370" t="s">
        <v>856</v>
      </c>
      <c r="E370" t="str">
        <f t="shared" si="205"/>
        <v>PJ/yr.</v>
      </c>
      <c r="F370" s="1">
        <f>SUM(F371:F376)</f>
        <v>11.444976345606616</v>
      </c>
      <c r="G370" s="1">
        <f t="shared" ref="G370:K370" si="214">SUM(G371:G376)</f>
        <v>12.571152449245966</v>
      </c>
      <c r="H370" s="1">
        <f t="shared" si="214"/>
        <v>13.077453647670911</v>
      </c>
      <c r="I370" s="1">
        <f t="shared" si="214"/>
        <v>13.736686119061149</v>
      </c>
      <c r="J370" s="1">
        <f t="shared" si="214"/>
        <v>14.986165939755081</v>
      </c>
      <c r="K370" s="1">
        <f t="shared" si="214"/>
        <v>19.650665914369636</v>
      </c>
      <c r="M370" s="1"/>
      <c r="N370" s="1"/>
      <c r="O370" s="1"/>
    </row>
    <row r="371" spans="1:15" x14ac:dyDescent="0.25">
      <c r="A371" s="5" t="s">
        <v>5</v>
      </c>
      <c r="B371" s="5" t="str">
        <f t="shared" si="171"/>
        <v>SPS2</v>
      </c>
      <c r="C371" s="5" t="s">
        <v>7</v>
      </c>
      <c r="D371" t="s">
        <v>125</v>
      </c>
      <c r="E371" t="str">
        <f t="shared" si="205"/>
        <v>PJ/yr.</v>
      </c>
      <c r="F371" s="1">
        <f t="shared" ref="F371:K371" si="215">F364*IFERROR(F143/F136,0)</f>
        <v>9.101795882838827</v>
      </c>
      <c r="G371" s="1">
        <f t="shared" si="215"/>
        <v>10.299228489138919</v>
      </c>
      <c r="H371" s="1">
        <f t="shared" si="215"/>
        <v>10.597645500500489</v>
      </c>
      <c r="I371" s="1">
        <f t="shared" si="215"/>
        <v>10.940215456414855</v>
      </c>
      <c r="J371" s="1">
        <f t="shared" si="215"/>
        <v>9.6404718334679735</v>
      </c>
      <c r="K371" s="1">
        <f t="shared" si="215"/>
        <v>7.1706121746220619</v>
      </c>
      <c r="M371" s="1"/>
      <c r="N371" s="1"/>
      <c r="O371" s="1"/>
    </row>
    <row r="372" spans="1:15" x14ac:dyDescent="0.25">
      <c r="A372" s="5" t="s">
        <v>5</v>
      </c>
      <c r="B372" s="5" t="str">
        <f t="shared" ref="B372:B435" si="216">B371</f>
        <v>SPS2</v>
      </c>
      <c r="C372" s="5" t="s">
        <v>7</v>
      </c>
      <c r="D372" t="s">
        <v>126</v>
      </c>
      <c r="E372" t="str">
        <f t="shared" si="205"/>
        <v>PJ/yr.</v>
      </c>
      <c r="F372" s="1">
        <f t="shared" ref="F372:K372" si="217">F365*IFERROR(F144/F137,0)</f>
        <v>0</v>
      </c>
      <c r="G372" s="1">
        <f t="shared" si="217"/>
        <v>0</v>
      </c>
      <c r="H372" s="1">
        <f t="shared" si="217"/>
        <v>0</v>
      </c>
      <c r="I372" s="1">
        <f t="shared" si="217"/>
        <v>0</v>
      </c>
      <c r="J372" s="1">
        <f t="shared" si="217"/>
        <v>2.1114937939822607</v>
      </c>
      <c r="K372" s="1">
        <f t="shared" si="217"/>
        <v>7.1701021724085221</v>
      </c>
    </row>
    <row r="373" spans="1:15" x14ac:dyDescent="0.25">
      <c r="A373" s="5" t="s">
        <v>5</v>
      </c>
      <c r="B373" s="5" t="str">
        <f t="shared" si="216"/>
        <v>SPS2</v>
      </c>
      <c r="C373" s="5" t="s">
        <v>7</v>
      </c>
      <c r="D373" t="s">
        <v>127</v>
      </c>
      <c r="E373" t="str">
        <f t="shared" si="205"/>
        <v>PJ/yr.</v>
      </c>
      <c r="F373" s="1">
        <f t="shared" ref="F373:K373" si="218">F366*IFERROR(F145/F138,0)</f>
        <v>1.9487366122992158</v>
      </c>
      <c r="G373" s="1">
        <f t="shared" si="218"/>
        <v>1.8454487049429937</v>
      </c>
      <c r="H373" s="1">
        <f t="shared" si="218"/>
        <v>1.8461483509675538</v>
      </c>
      <c r="I373" s="1">
        <f t="shared" si="218"/>
        <v>2.0526603744178646</v>
      </c>
      <c r="J373" s="1">
        <f t="shared" si="218"/>
        <v>2.1261341198901627</v>
      </c>
      <c r="K373" s="1">
        <f t="shared" si="218"/>
        <v>1.9072143410345685</v>
      </c>
    </row>
    <row r="374" spans="1:15" x14ac:dyDescent="0.25">
      <c r="A374" s="5" t="s">
        <v>5</v>
      </c>
      <c r="B374" s="5" t="str">
        <f t="shared" si="216"/>
        <v>SPS2</v>
      </c>
      <c r="C374" s="5" t="s">
        <v>7</v>
      </c>
      <c r="D374" t="s">
        <v>128</v>
      </c>
      <c r="E374" t="str">
        <f t="shared" si="205"/>
        <v>PJ/yr.</v>
      </c>
      <c r="F374" s="1">
        <f t="shared" ref="F374:K374" si="219">F367*IFERROR(F146/F139,0)</f>
        <v>0</v>
      </c>
      <c r="G374" s="1">
        <f t="shared" si="219"/>
        <v>0</v>
      </c>
      <c r="H374" s="1">
        <f t="shared" si="219"/>
        <v>0</v>
      </c>
      <c r="I374" s="1">
        <f t="shared" si="219"/>
        <v>0</v>
      </c>
      <c r="J374" s="1">
        <f t="shared" si="219"/>
        <v>0.23601651829707587</v>
      </c>
      <c r="K374" s="1">
        <f t="shared" si="219"/>
        <v>0.7363166636369175</v>
      </c>
    </row>
    <row r="375" spans="1:15" x14ac:dyDescent="0.25">
      <c r="A375" s="5" t="s">
        <v>5</v>
      </c>
      <c r="B375" s="5" t="str">
        <f t="shared" si="216"/>
        <v>SPS2</v>
      </c>
      <c r="C375" s="5" t="s">
        <v>7</v>
      </c>
      <c r="D375" t="s">
        <v>129</v>
      </c>
      <c r="E375" t="str">
        <f t="shared" si="205"/>
        <v>PJ/yr.</v>
      </c>
      <c r="F375" s="1">
        <f>F361</f>
        <v>0.39444385046857189</v>
      </c>
      <c r="G375" s="1">
        <f t="shared" ref="G375:K375" si="220">G361</f>
        <v>0.42647525516405288</v>
      </c>
      <c r="H375" s="1">
        <f t="shared" si="220"/>
        <v>0.63365979620286883</v>
      </c>
      <c r="I375" s="1">
        <f t="shared" si="220"/>
        <v>0.74381028822843021</v>
      </c>
      <c r="J375" s="1">
        <f t="shared" si="220"/>
        <v>0.35953639271035742</v>
      </c>
      <c r="K375" s="1">
        <f t="shared" si="220"/>
        <v>1.6548096391289641E-4</v>
      </c>
    </row>
    <row r="376" spans="1:15" x14ac:dyDescent="0.25">
      <c r="A376" s="5" t="s">
        <v>5</v>
      </c>
      <c r="B376" s="5" t="str">
        <f t="shared" si="216"/>
        <v>SPS2</v>
      </c>
      <c r="C376" s="5" t="s">
        <v>7</v>
      </c>
      <c r="D376" t="s">
        <v>130</v>
      </c>
      <c r="E376" t="str">
        <f t="shared" si="205"/>
        <v>PJ/yr.</v>
      </c>
      <c r="F376" s="1">
        <f t="shared" ref="F376:K376" si="221">F362</f>
        <v>0</v>
      </c>
      <c r="G376" s="1">
        <f t="shared" si="221"/>
        <v>0</v>
      </c>
      <c r="H376" s="1">
        <f t="shared" si="221"/>
        <v>0</v>
      </c>
      <c r="I376" s="1">
        <f t="shared" si="221"/>
        <v>0</v>
      </c>
      <c r="J376" s="1">
        <f t="shared" si="221"/>
        <v>0.51251328140725139</v>
      </c>
      <c r="K376" s="1">
        <f t="shared" si="221"/>
        <v>2.6662550817036568</v>
      </c>
    </row>
    <row r="377" spans="1:15" x14ac:dyDescent="0.25">
      <c r="A377" s="5" t="s">
        <v>5</v>
      </c>
      <c r="B377" s="5" t="str">
        <f t="shared" si="216"/>
        <v>SPS2</v>
      </c>
      <c r="C377" s="5" t="s">
        <v>7</v>
      </c>
      <c r="D377" t="s">
        <v>857</v>
      </c>
      <c r="E377" t="str">
        <f t="shared" si="205"/>
        <v>PJ/yr.</v>
      </c>
      <c r="F377" s="1">
        <f>SUM(F378:F384)</f>
        <v>0.18089658640254197</v>
      </c>
      <c r="G377" s="1">
        <f t="shared" ref="G377:K377" si="222">SUM(G378:G384)</f>
        <v>0.39249638066689269</v>
      </c>
      <c r="H377" s="1">
        <f t="shared" si="222"/>
        <v>1.134127513147329</v>
      </c>
      <c r="I377" s="1">
        <f t="shared" si="222"/>
        <v>1.4646681032987143</v>
      </c>
      <c r="J377" s="1">
        <f t="shared" si="222"/>
        <v>2.1076509553602465</v>
      </c>
      <c r="K377" s="1">
        <f t="shared" si="222"/>
        <v>8.2654948736265936</v>
      </c>
    </row>
    <row r="378" spans="1:15" x14ac:dyDescent="0.25">
      <c r="A378" s="5" t="s">
        <v>5</v>
      </c>
      <c r="B378" s="5" t="str">
        <f t="shared" si="216"/>
        <v>SPS2</v>
      </c>
      <c r="C378" s="5" t="s">
        <v>7</v>
      </c>
      <c r="D378" t="s">
        <v>131</v>
      </c>
      <c r="E378" t="str">
        <f t="shared" si="205"/>
        <v>PJ/yr.</v>
      </c>
      <c r="F378" s="1">
        <f>IFERROR(F150/SUM(F150,F205),0)*'[1]Electricity and CHPs_IN'!B$25</f>
        <v>3.8346221691003908E-5</v>
      </c>
      <c r="G378" s="1">
        <f>IFERROR(G150/SUM(G150,G205),0)*'[1]Electricity and CHPs_IN'!C$25</f>
        <v>5.0171518758974077E-6</v>
      </c>
      <c r="H378" s="1">
        <f>IFERROR(H150/SUM(H150,H205),0)*'[1]Electricity and CHPs_IN'!D$25</f>
        <v>8.5327506299369177E-4</v>
      </c>
      <c r="I378" s="1">
        <f>IFERROR(I150/SUM(I150,I205),0)*'[1]Electricity and CHPs_IN'!E$25</f>
        <v>4.4804730463162529E-4</v>
      </c>
      <c r="J378" s="1">
        <f>IFERROR(J150/SUM(J150,J205),0)*'[1]Electricity and CHPs_IN'!F$25</f>
        <v>0.24510387282214219</v>
      </c>
      <c r="K378" s="1">
        <f>IFERROR(K150/SUM(K150,K205),0)*'[1]Electricity and CHPs_IN'!G$25</f>
        <v>0.52975029950601982</v>
      </c>
    </row>
    <row r="379" spans="1:15" x14ac:dyDescent="0.25">
      <c r="A379" s="5" t="s">
        <v>5</v>
      </c>
      <c r="B379" s="5" t="str">
        <f t="shared" si="216"/>
        <v>SPS2</v>
      </c>
      <c r="C379" s="5" t="s">
        <v>7</v>
      </c>
      <c r="D379" t="s">
        <v>132</v>
      </c>
      <c r="E379" t="str">
        <f t="shared" si="205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3.3098392197688973E-3</v>
      </c>
      <c r="K379" s="1">
        <f>'[1]Electricity and CHPs_IN'!G$31</f>
        <v>3.11885532391182</v>
      </c>
    </row>
    <row r="380" spans="1:15" x14ac:dyDescent="0.25">
      <c r="A380" s="5" t="s">
        <v>5</v>
      </c>
      <c r="B380" s="5" t="str">
        <f t="shared" si="216"/>
        <v>SPS2</v>
      </c>
      <c r="C380" s="5" t="s">
        <v>7</v>
      </c>
      <c r="D380" t="s">
        <v>133</v>
      </c>
      <c r="E380" t="str">
        <f t="shared" si="205"/>
        <v>PJ/yr.</v>
      </c>
      <c r="F380" s="1">
        <f>IFERROR(F152/SUM(F152,F281),0)*'[1]Electricity and CHPs_IN'!B$42</f>
        <v>0.18085824018085098</v>
      </c>
      <c r="G380" s="1">
        <f>IFERROR(G152/SUM(G152,G281),0)*'[1]Electricity and CHPs_IN'!C$42</f>
        <v>0.39249136351501679</v>
      </c>
      <c r="H380" s="1">
        <f>IFERROR(H152/SUM(H152,H281),0)*'[1]Electricity and CHPs_IN'!D$42</f>
        <v>1.1332742380843353</v>
      </c>
      <c r="I380" s="1">
        <f>IFERROR(I152/SUM(I152,I281),0)*'[1]Electricity and CHPs_IN'!E$42</f>
        <v>1.4603019526674987</v>
      </c>
      <c r="J380" s="1">
        <f>IFERROR(J152/SUM(J152,J281),0)*'[1]Electricity and CHPs_IN'!F$42</f>
        <v>0.89459492109598659</v>
      </c>
      <c r="K380" s="1">
        <f>IFERROR(K152/SUM(K152,K281),0)*'[1]Electricity and CHPs_IN'!G$42</f>
        <v>6.2173593538420509E-4</v>
      </c>
    </row>
    <row r="381" spans="1:15" x14ac:dyDescent="0.25">
      <c r="A381" s="5" t="s">
        <v>5</v>
      </c>
      <c r="B381" s="5" t="str">
        <f t="shared" si="216"/>
        <v>SPS2</v>
      </c>
      <c r="C381" s="5" t="s">
        <v>7</v>
      </c>
      <c r="D381" t="s">
        <v>134</v>
      </c>
      <c r="E381" t="str">
        <f t="shared" si="205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0.95732784010504368</v>
      </c>
      <c r="K381" s="1">
        <f>IFERROR(K153/SUM(K153,K282),0)*'[1]Electricity and CHPs_IN'!G$43</f>
        <v>4.6147047319823153</v>
      </c>
    </row>
    <row r="382" spans="1:15" x14ac:dyDescent="0.25">
      <c r="A382" s="5" t="s">
        <v>5</v>
      </c>
      <c r="B382" s="5" t="str">
        <f t="shared" si="216"/>
        <v>SPS2</v>
      </c>
      <c r="C382" s="5" t="s">
        <v>7</v>
      </c>
      <c r="D382" t="s">
        <v>135</v>
      </c>
      <c r="E382" t="str">
        <f t="shared" si="205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9.3758303049797911E-4</v>
      </c>
      <c r="J382" s="1">
        <f>IFERROR(J154/SUM(J283,J154),0)*'[1]Electricity and CHPs_IN'!F$50</f>
        <v>1.6762889801362718E-3</v>
      </c>
      <c r="K382" s="1">
        <f>IFERROR(K154/SUM(K283,K154),0)*'[1]Electricity and CHPs_IN'!G$50</f>
        <v>4.5628546752381742E-4</v>
      </c>
    </row>
    <row r="383" spans="1:15" x14ac:dyDescent="0.25">
      <c r="A383" s="5" t="s">
        <v>5</v>
      </c>
      <c r="B383" s="5" t="str">
        <f t="shared" si="216"/>
        <v>SPS2</v>
      </c>
      <c r="C383" s="5" t="s">
        <v>7</v>
      </c>
      <c r="D383" t="s">
        <v>136</v>
      </c>
      <c r="E383" t="str">
        <f t="shared" si="205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1.8264332955257331E-3</v>
      </c>
      <c r="J383" s="1">
        <f>IFERROR(J155/SUM(J284,J155),0)*'[1]Electricity and CHPs_IN'!F$53</f>
        <v>4.0479741858549757E-3</v>
      </c>
      <c r="K383" s="1">
        <f>IFERROR(K155/SUM(K284,K155),0)*'[1]Electricity and CHPs_IN'!G$53</f>
        <v>6.8544826057051293E-4</v>
      </c>
    </row>
    <row r="384" spans="1:15" x14ac:dyDescent="0.25">
      <c r="A384" s="5" t="s">
        <v>5</v>
      </c>
      <c r="B384" s="5" t="str">
        <f t="shared" si="216"/>
        <v>SPS2</v>
      </c>
      <c r="C384" s="5" t="s">
        <v>7</v>
      </c>
      <c r="D384" t="s">
        <v>294</v>
      </c>
      <c r="E384" t="str">
        <f t="shared" si="205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1.1540870005600969E-3</v>
      </c>
      <c r="J384" s="1">
        <f>IFERROR(J156/SUM(J285,J156),0)*'[1]Electricity and CHPs_IN'!F$56</f>
        <v>1.59021895131437E-3</v>
      </c>
      <c r="K384" s="1">
        <f>IFERROR(K156/SUM(K285,K156),0)*'[1]Electricity and CHPs_IN'!G$56</f>
        <v>4.2104856295966444E-4</v>
      </c>
    </row>
    <row r="385" spans="1:11" x14ac:dyDescent="0.25">
      <c r="A385" s="5" t="s">
        <v>5</v>
      </c>
      <c r="B385" s="5" t="str">
        <f t="shared" si="216"/>
        <v>SPS2</v>
      </c>
      <c r="C385" s="5" t="s">
        <v>7</v>
      </c>
      <c r="D385" t="s">
        <v>858</v>
      </c>
      <c r="E385" t="str">
        <f t="shared" si="205"/>
        <v>PJ/yr.</v>
      </c>
      <c r="F385" s="1">
        <f>F386</f>
        <v>0.52400000000000047</v>
      </c>
      <c r="G385" s="1">
        <f t="shared" ref="G385:K385" si="223">G386</f>
        <v>0.54529233979626501</v>
      </c>
      <c r="H385" s="1">
        <f t="shared" si="223"/>
        <v>0.50410702126395956</v>
      </c>
      <c r="I385" s="1">
        <f t="shared" si="223"/>
        <v>2.5237590781330628</v>
      </c>
      <c r="J385" s="1">
        <f t="shared" si="223"/>
        <v>5.2768108596067673</v>
      </c>
      <c r="K385" s="1">
        <f t="shared" si="223"/>
        <v>10.794166491072341</v>
      </c>
    </row>
    <row r="386" spans="1:11" x14ac:dyDescent="0.25">
      <c r="A386" s="5" t="s">
        <v>5</v>
      </c>
      <c r="B386" s="5" t="str">
        <f t="shared" si="216"/>
        <v>SPS2</v>
      </c>
      <c r="C386" s="5" t="s">
        <v>7</v>
      </c>
      <c r="D386" t="s">
        <v>137</v>
      </c>
      <c r="E386" t="str">
        <f t="shared" si="205"/>
        <v>PJ/yr.</v>
      </c>
      <c r="F386" s="1">
        <f>'[1]Electricity and CHPs_IN'!B$33</f>
        <v>0.52400000000000047</v>
      </c>
      <c r="G386" s="1">
        <f>'[1]Electricity and CHPs_IN'!C$33</f>
        <v>0.54529233979626501</v>
      </c>
      <c r="H386" s="1">
        <f>'[1]Electricity and CHPs_IN'!D$33</f>
        <v>0.50410702126395956</v>
      </c>
      <c r="I386" s="1">
        <f>'[1]Electricity and CHPs_IN'!E$33</f>
        <v>2.5237590781330628</v>
      </c>
      <c r="J386" s="1">
        <f>'[1]Electricity and CHPs_IN'!F$33</f>
        <v>5.2768108596067673</v>
      </c>
      <c r="K386" s="1">
        <f>'[1]Electricity and CHPs_IN'!G$33</f>
        <v>10.794166491072341</v>
      </c>
    </row>
    <row r="387" spans="1:11" x14ac:dyDescent="0.25">
      <c r="A387" s="5" t="s">
        <v>5</v>
      </c>
      <c r="B387" s="5" t="str">
        <f t="shared" si="216"/>
        <v>SPS2</v>
      </c>
      <c r="C387" s="5" t="s">
        <v>7</v>
      </c>
      <c r="D387" t="s">
        <v>859</v>
      </c>
      <c r="E387" t="str">
        <f t="shared" si="205"/>
        <v>PJ/yr.</v>
      </c>
      <c r="F387" s="1">
        <f>SUM(F388:F392)</f>
        <v>9.3550000000000111</v>
      </c>
      <c r="G387" s="1">
        <f t="shared" ref="G387:K387" si="224">SUM(G388:G392)</f>
        <v>12.822610287474157</v>
      </c>
      <c r="H387" s="1">
        <f t="shared" si="224"/>
        <v>28.800004267459848</v>
      </c>
      <c r="I387" s="1">
        <f t="shared" si="224"/>
        <v>69.531414624214221</v>
      </c>
      <c r="J387" s="1">
        <f t="shared" si="224"/>
        <v>114.8064103903944</v>
      </c>
      <c r="K387" s="1">
        <f t="shared" si="224"/>
        <v>177.92903262905139</v>
      </c>
    </row>
    <row r="388" spans="1:11" x14ac:dyDescent="0.25">
      <c r="A388" s="5" t="s">
        <v>5</v>
      </c>
      <c r="B388" s="5" t="str">
        <f t="shared" si="216"/>
        <v>SPS2</v>
      </c>
      <c r="C388" s="5" t="s">
        <v>7</v>
      </c>
      <c r="D388" t="s">
        <v>138</v>
      </c>
      <c r="E388" t="str">
        <f t="shared" si="205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0.14080235622460482</v>
      </c>
      <c r="I388" s="1">
        <f>'[1]Electricity and CHPs_IN'!E34</f>
        <v>10.684521450981828</v>
      </c>
      <c r="J388" s="1">
        <f>'[1]Electricity and CHPs_IN'!F34</f>
        <v>15.294206263464218</v>
      </c>
      <c r="K388" s="1">
        <f>'[1]Electricity and CHPs_IN'!G34</f>
        <v>46.807590019099585</v>
      </c>
    </row>
    <row r="389" spans="1:11" x14ac:dyDescent="0.25">
      <c r="A389" s="5" t="s">
        <v>5</v>
      </c>
      <c r="B389" s="5" t="str">
        <f t="shared" si="216"/>
        <v>SPS2</v>
      </c>
      <c r="C389" s="5" t="s">
        <v>7</v>
      </c>
      <c r="D389" t="s">
        <v>139</v>
      </c>
      <c r="E389" t="str">
        <f t="shared" si="205"/>
        <v>PJ/yr.</v>
      </c>
      <c r="F389" s="1">
        <f>'[1]Electricity and CHPs_IN'!B35</f>
        <v>3.517953999707534</v>
      </c>
      <c r="G389" s="1">
        <f>'[1]Electricity and CHPs_IN'!C35</f>
        <v>4.8498358563541837</v>
      </c>
      <c r="H389" s="1">
        <f>'[1]Electricity and CHPs_IN'!D35</f>
        <v>9.5944993976618136</v>
      </c>
      <c r="I389" s="1">
        <f>'[1]Electricity and CHPs_IN'!E35</f>
        <v>17.736887493723508</v>
      </c>
      <c r="J389" s="1">
        <f>'[1]Electricity and CHPs_IN'!F35</f>
        <v>39.100465857077438</v>
      </c>
      <c r="K389" s="1">
        <f>'[1]Electricity and CHPs_IN'!G35</f>
        <v>62.60025769442899</v>
      </c>
    </row>
    <row r="390" spans="1:11" x14ac:dyDescent="0.25">
      <c r="A390" s="5" t="s">
        <v>5</v>
      </c>
      <c r="B390" s="5" t="str">
        <f t="shared" si="216"/>
        <v>SPS2</v>
      </c>
      <c r="C390" s="5" t="s">
        <v>7</v>
      </c>
      <c r="D390" t="s">
        <v>140</v>
      </c>
      <c r="E390" t="str">
        <f t="shared" si="205"/>
        <v>PJ/yr.</v>
      </c>
      <c r="F390" s="1">
        <f>'[1]Electricity and CHPs_IN'!B36</f>
        <v>2.1349390887346629</v>
      </c>
      <c r="G390" s="1">
        <f>'[1]Electricity and CHPs_IN'!C36</f>
        <v>3.3906989306381425</v>
      </c>
      <c r="H390" s="1">
        <f>'[1]Electricity and CHPs_IN'!D36</f>
        <v>8.0482095253905577</v>
      </c>
      <c r="I390" s="1">
        <f>'[1]Electricity and CHPs_IN'!E36</f>
        <v>14.087835975785094</v>
      </c>
      <c r="J390" s="1">
        <f>'[1]Electricity and CHPs_IN'!F36</f>
        <v>13.895281345206909</v>
      </c>
      <c r="K390" s="1">
        <f>'[1]Electricity and CHPs_IN'!G36</f>
        <v>3.5567902270449543</v>
      </c>
    </row>
    <row r="391" spans="1:11" x14ac:dyDescent="0.25">
      <c r="A391" s="5" t="s">
        <v>5</v>
      </c>
      <c r="B391" s="5" t="str">
        <f t="shared" si="216"/>
        <v>SPS2</v>
      </c>
      <c r="C391" s="5" t="s">
        <v>7</v>
      </c>
      <c r="D391" t="s">
        <v>141</v>
      </c>
      <c r="E391" t="str">
        <f t="shared" si="205"/>
        <v>PJ/yr.</v>
      </c>
      <c r="F391" s="1">
        <f>'[1]Electricity and CHPs_IN'!B37</f>
        <v>0.86248322578584768</v>
      </c>
      <c r="G391" s="1">
        <f>'[1]Electricity and CHPs_IN'!C37</f>
        <v>1.2876203432742255</v>
      </c>
      <c r="H391" s="1">
        <f>'[1]Electricity and CHPs_IN'!D37</f>
        <v>4.1841005751370517</v>
      </c>
      <c r="I391" s="1">
        <f>'[1]Electricity and CHPs_IN'!E37</f>
        <v>9.1198268211926994</v>
      </c>
      <c r="J391" s="1">
        <f>'[1]Electricity and CHPs_IN'!F37</f>
        <v>15.837879921490506</v>
      </c>
      <c r="K391" s="1">
        <f>'[1]Electricity and CHPs_IN'!G37</f>
        <v>27.700732623579608</v>
      </c>
    </row>
    <row r="392" spans="1:11" x14ac:dyDescent="0.25">
      <c r="A392" s="5" t="s">
        <v>5</v>
      </c>
      <c r="B392" s="5" t="str">
        <f t="shared" si="216"/>
        <v>SPS2</v>
      </c>
      <c r="C392" s="5" t="s">
        <v>7</v>
      </c>
      <c r="D392" t="s">
        <v>142</v>
      </c>
      <c r="E392" t="str">
        <f t="shared" si="205"/>
        <v>PJ/yr.</v>
      </c>
      <c r="F392" s="1">
        <f>'[1]Electricity and CHPs_IN'!B38</f>
        <v>2.8396236857719668</v>
      </c>
      <c r="G392" s="1">
        <f>'[1]Electricity and CHPs_IN'!C38</f>
        <v>3.2944551572076066</v>
      </c>
      <c r="H392" s="1">
        <f>'[1]Electricity and CHPs_IN'!D38</f>
        <v>6.8323924130458185</v>
      </c>
      <c r="I392" s="1">
        <f>'[1]Electricity and CHPs_IN'!E38</f>
        <v>17.90234288253108</v>
      </c>
      <c r="J392" s="1">
        <f>'[1]Electricity and CHPs_IN'!F38</f>
        <v>30.678577003155329</v>
      </c>
      <c r="K392" s="1">
        <f>'[1]Electricity and CHPs_IN'!G38</f>
        <v>37.263662064898242</v>
      </c>
    </row>
    <row r="393" spans="1:11" x14ac:dyDescent="0.25">
      <c r="A393" s="5" t="s">
        <v>5</v>
      </c>
      <c r="B393" s="5" t="str">
        <f t="shared" si="216"/>
        <v>SPS2</v>
      </c>
      <c r="C393" s="5" t="s">
        <v>7</v>
      </c>
      <c r="D393" t="s">
        <v>860</v>
      </c>
      <c r="E393" t="str">
        <f t="shared" si="205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tr">
        <f t="shared" si="216"/>
        <v>SPS2</v>
      </c>
      <c r="C394" s="5" t="s">
        <v>7</v>
      </c>
      <c r="D394" t="s">
        <v>143</v>
      </c>
      <c r="E394" t="str">
        <f t="shared" si="205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0.10200604353933014</v>
      </c>
      <c r="K394" s="1">
        <f>'[1]Electricity and CHPs_IN'!G$32</f>
        <v>0.10303581460888278</v>
      </c>
    </row>
    <row r="395" spans="1:11" x14ac:dyDescent="0.25">
      <c r="A395" s="5" t="s">
        <v>5</v>
      </c>
      <c r="B395" s="5" t="str">
        <f t="shared" si="216"/>
        <v>SPS2</v>
      </c>
      <c r="C395" s="5" t="s">
        <v>7</v>
      </c>
      <c r="D395" t="s">
        <v>861</v>
      </c>
      <c r="E395" t="str">
        <f t="shared" si="205"/>
        <v>PJ/yr.</v>
      </c>
      <c r="F395" s="1">
        <f t="shared" ref="F395" si="225">SUM(F396:F398)</f>
        <v>0</v>
      </c>
      <c r="G395" s="1">
        <f t="shared" ref="G395" si="226">SUM(G396:G398)</f>
        <v>0</v>
      </c>
      <c r="H395" s="1">
        <f t="shared" ref="H395" si="227">SUM(H396:H398)</f>
        <v>0</v>
      </c>
      <c r="I395" s="1">
        <f t="shared" ref="I395" si="228">SUM(I396:I398)</f>
        <v>1.0499620095233162</v>
      </c>
      <c r="J395" s="1">
        <f t="shared" ref="J395" si="229">SUM(J396:J398)</f>
        <v>0.66867492493931691</v>
      </c>
      <c r="K395" s="1">
        <f t="shared" ref="K395" si="230">SUM(K396:K398)</f>
        <v>0.37126902746127188</v>
      </c>
    </row>
    <row r="396" spans="1:11" x14ac:dyDescent="0.25">
      <c r="A396" s="5" t="s">
        <v>5</v>
      </c>
      <c r="B396" s="5" t="str">
        <f t="shared" si="216"/>
        <v>SPS2</v>
      </c>
      <c r="C396" s="5" t="s">
        <v>7</v>
      </c>
      <c r="D396" t="s">
        <v>144</v>
      </c>
      <c r="E396" t="str">
        <f t="shared" si="205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5.467723557683552E-3</v>
      </c>
      <c r="K396" s="1">
        <f>IFERROR(K168/SUM(K168,K207),0)*'[1]Electricity and CHPs_IN'!G$30</f>
        <v>3.536847123322659E-3</v>
      </c>
    </row>
    <row r="397" spans="1:11" x14ac:dyDescent="0.25">
      <c r="A397" s="5" t="s">
        <v>5</v>
      </c>
      <c r="B397" s="5" t="str">
        <f t="shared" si="216"/>
        <v>SPS2</v>
      </c>
      <c r="C397" s="5" t="s">
        <v>7</v>
      </c>
      <c r="D397" t="s">
        <v>145</v>
      </c>
      <c r="E397" t="str">
        <f t="shared" si="205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1.0484724103371537</v>
      </c>
      <c r="J397" s="1">
        <f>IFERROR(J169/SUM(J169,J287),0)*'[1]Electricity and CHPs_IN'!F$46</f>
        <v>0.66170839329332731</v>
      </c>
      <c r="K397" s="1">
        <f>IFERROR(K169/SUM(K169,K287),0)*'[1]Electricity and CHPs_IN'!G$46</f>
        <v>0.36679459386892788</v>
      </c>
    </row>
    <row r="398" spans="1:11" x14ac:dyDescent="0.25">
      <c r="A398" s="5" t="s">
        <v>5</v>
      </c>
      <c r="B398" s="5" t="str">
        <f t="shared" si="216"/>
        <v>SPS2</v>
      </c>
      <c r="C398" s="5" t="s">
        <v>7</v>
      </c>
      <c r="D398" t="s">
        <v>237</v>
      </c>
      <c r="E398" t="str">
        <f t="shared" si="205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1.4895991861624731E-3</v>
      </c>
      <c r="J398" s="1">
        <f>IFERROR(J170/SUM(J170,J288),0)*'[1]Electricity and CHPs_IN'!F$57</f>
        <v>1.4988080883060035E-3</v>
      </c>
      <c r="K398" s="1">
        <f>IFERROR(K170/SUM(K170,K288),0)*'[1]Electricity and CHPs_IN'!G$57</f>
        <v>9.3758646902136462E-4</v>
      </c>
    </row>
    <row r="399" spans="1:11" x14ac:dyDescent="0.25">
      <c r="A399" s="5" t="s">
        <v>5</v>
      </c>
      <c r="B399" s="5" t="str">
        <f t="shared" si="216"/>
        <v>SPS2</v>
      </c>
      <c r="C399" s="5" t="s">
        <v>7</v>
      </c>
      <c r="D399" t="s">
        <v>862</v>
      </c>
      <c r="E399" t="str">
        <f t="shared" si="205"/>
        <v>PJ/yr.</v>
      </c>
      <c r="F399" s="1">
        <f>SUM(F400:F406)</f>
        <v>2.8612509426196751E-3</v>
      </c>
      <c r="G399" s="1">
        <f t="shared" ref="G399:K399" si="231">SUM(G400:G406)</f>
        <v>2.6159020261209229E-2</v>
      </c>
      <c r="H399" s="1">
        <f t="shared" si="231"/>
        <v>0.15236779609573387</v>
      </c>
      <c r="I399" s="1">
        <f t="shared" si="231"/>
        <v>0.624754301261359</v>
      </c>
      <c r="J399" s="1">
        <f t="shared" si="231"/>
        <v>3.0838188863981633</v>
      </c>
      <c r="K399" s="1">
        <f t="shared" si="231"/>
        <v>11.01276924460457</v>
      </c>
    </row>
    <row r="400" spans="1:11" x14ac:dyDescent="0.25">
      <c r="A400" s="5" t="s">
        <v>5</v>
      </c>
      <c r="B400" s="5" t="str">
        <f t="shared" si="216"/>
        <v>SPS2</v>
      </c>
      <c r="C400" s="5" t="s">
        <v>7</v>
      </c>
      <c r="D400" t="s">
        <v>146</v>
      </c>
      <c r="E400" t="str">
        <f t="shared" si="205"/>
        <v>PJ/yr.</v>
      </c>
      <c r="F400" s="1">
        <f>'[1]Electricity and CHPs_IN'!B63</f>
        <v>1.3721134605242029E-4</v>
      </c>
      <c r="G400" s="1">
        <f>'[1]Electricity and CHPs_IN'!C63</f>
        <v>1.067861511965848E-2</v>
      </c>
      <c r="H400" s="1">
        <f>'[1]Electricity and CHPs_IN'!D63</f>
        <v>0.13499499222981848</v>
      </c>
      <c r="I400" s="1">
        <f>'[1]Electricity and CHPs_IN'!E63</f>
        <v>0.13499164466494157</v>
      </c>
      <c r="J400" s="1">
        <f>'[1]Electricity and CHPs_IN'!F63</f>
        <v>0.12078021715697322</v>
      </c>
      <c r="K400" s="1">
        <f>'[1]Electricity and CHPs_IN'!G63</f>
        <v>8.021846081338814E-2</v>
      </c>
    </row>
    <row r="401" spans="1:19" x14ac:dyDescent="0.25">
      <c r="A401" s="5" t="s">
        <v>5</v>
      </c>
      <c r="B401" s="5" t="str">
        <f t="shared" si="216"/>
        <v>SPS2</v>
      </c>
      <c r="C401" s="5" t="s">
        <v>7</v>
      </c>
      <c r="D401" t="s">
        <v>147</v>
      </c>
      <c r="E401" t="str">
        <f t="shared" si="205"/>
        <v>PJ/yr.</v>
      </c>
      <c r="F401" s="1">
        <f>'[1]Electricity and CHPs_IN'!B64</f>
        <v>2.8457569431598363E-4</v>
      </c>
      <c r="G401" s="1">
        <f>'[1]Electricity and CHPs_IN'!C64</f>
        <v>3.7370205662827435E-3</v>
      </c>
      <c r="H401" s="1">
        <f>'[1]Electricity and CHPs_IN'!D64</f>
        <v>4.6595905094853375E-3</v>
      </c>
      <c r="I401" s="1">
        <f>'[1]Electricity and CHPs_IN'!E64</f>
        <v>5.3712263924286085E-3</v>
      </c>
      <c r="J401" s="1">
        <f>'[1]Electricity and CHPs_IN'!F64</f>
        <v>2.2400722133136011</v>
      </c>
      <c r="K401" s="1">
        <f>'[1]Electricity and CHPs_IN'!G64</f>
        <v>2.2407122566254847</v>
      </c>
    </row>
    <row r="402" spans="1:19" x14ac:dyDescent="0.25">
      <c r="A402" s="5" t="s">
        <v>5</v>
      </c>
      <c r="B402" s="5" t="str">
        <f t="shared" si="216"/>
        <v>SPS2</v>
      </c>
      <c r="C402" s="5" t="s">
        <v>7</v>
      </c>
      <c r="D402" t="s">
        <v>148</v>
      </c>
      <c r="E402" t="str">
        <f t="shared" si="205"/>
        <v>PJ/yr.</v>
      </c>
      <c r="F402" s="1">
        <f>'[1]Electricity and CHPs_IN'!B65</f>
        <v>3.2816308693873141E-4</v>
      </c>
      <c r="G402" s="1">
        <f>'[1]Electricity and CHPs_IN'!C65</f>
        <v>3.2640258467329154E-3</v>
      </c>
      <c r="H402" s="1">
        <f>'[1]Electricity and CHPs_IN'!D65</f>
        <v>4.1201846196800476E-3</v>
      </c>
      <c r="I402" s="1">
        <f>'[1]Electricity and CHPs_IN'!E65</f>
        <v>4.8076123355105882E-3</v>
      </c>
      <c r="J402" s="1">
        <f>'[1]Electricity and CHPs_IN'!F65</f>
        <v>3.943966813595022E-2</v>
      </c>
      <c r="K402" s="1">
        <f>'[1]Electricity and CHPs_IN'!G65</f>
        <v>7.7865441908831592</v>
      </c>
    </row>
    <row r="403" spans="1:19" x14ac:dyDescent="0.25">
      <c r="A403" s="5" t="s">
        <v>5</v>
      </c>
      <c r="B403" s="5" t="str">
        <f t="shared" si="216"/>
        <v>SPS2</v>
      </c>
      <c r="C403" s="5" t="s">
        <v>7</v>
      </c>
      <c r="D403" t="s">
        <v>149</v>
      </c>
      <c r="E403" t="str">
        <f t="shared" si="205"/>
        <v>PJ/yr.</v>
      </c>
      <c r="F403" s="1">
        <f>'[1]Electricity and CHPs_IN'!B66</f>
        <v>3.5095686834307722E-4</v>
      </c>
      <c r="G403" s="1">
        <f>'[1]Electricity and CHPs_IN'!C66</f>
        <v>1.2805442205269266E-3</v>
      </c>
      <c r="H403" s="1">
        <f>'[1]Electricity and CHPs_IN'!D66</f>
        <v>1.3007962397834007E-3</v>
      </c>
      <c r="I403" s="1">
        <f>'[1]Electricity and CHPs_IN'!E66</f>
        <v>4.450718961095777E-3</v>
      </c>
      <c r="J403" s="1">
        <f>'[1]Electricity and CHPs_IN'!F66</f>
        <v>7.906223672179068E-3</v>
      </c>
      <c r="K403" s="1">
        <f>'[1]Electricity and CHPs_IN'!G66</f>
        <v>6.1562059972847302E-3</v>
      </c>
    </row>
    <row r="404" spans="1:19" x14ac:dyDescent="0.25">
      <c r="A404" s="5" t="s">
        <v>5</v>
      </c>
      <c r="B404" s="5" t="str">
        <f t="shared" si="216"/>
        <v>SPS2</v>
      </c>
      <c r="C404" s="5" t="s">
        <v>7</v>
      </c>
      <c r="D404" t="s">
        <v>1854</v>
      </c>
      <c r="E404" t="str">
        <f t="shared" si="205"/>
        <v>PJ/yr.</v>
      </c>
      <c r="F404" s="1">
        <f>'[1]Electricity and CHPs_IN'!B67</f>
        <v>7.0645282661368645E-4</v>
      </c>
      <c r="G404" s="1">
        <f>'[1]Electricity and CHPs_IN'!C67</f>
        <v>2.9561113273627792E-3</v>
      </c>
      <c r="H404" s="1">
        <f>'[1]Electricity and CHPs_IN'!D67</f>
        <v>2.9922733779083927E-3</v>
      </c>
      <c r="I404" s="1">
        <f>'[1]Electricity and CHPs_IN'!E67</f>
        <v>0.21293455569740155</v>
      </c>
      <c r="J404" s="1">
        <f>'[1]Electricity and CHPs_IN'!F67</f>
        <v>0.32816589292817411</v>
      </c>
      <c r="K404" s="1">
        <f>'[1]Electricity and CHPs_IN'!G67</f>
        <v>0.44083956448494732</v>
      </c>
    </row>
    <row r="405" spans="1:19" x14ac:dyDescent="0.25">
      <c r="A405" s="5" t="s">
        <v>5</v>
      </c>
      <c r="B405" s="5" t="str">
        <f t="shared" si="216"/>
        <v>SPS2</v>
      </c>
      <c r="C405" s="5" t="s">
        <v>7</v>
      </c>
      <c r="D405" t="s">
        <v>150</v>
      </c>
      <c r="E405" t="str">
        <f t="shared" si="205"/>
        <v>PJ/yr.</v>
      </c>
      <c r="F405" s="1">
        <f>'[1]Electricity and CHPs_IN'!B68</f>
        <v>7.0645328306638555E-4</v>
      </c>
      <c r="G405" s="1">
        <f>'[1]Electricity and CHPs_IN'!C68</f>
        <v>2.9581948706180142E-3</v>
      </c>
      <c r="H405" s="1">
        <f>'[1]Electricity and CHPs_IN'!D68</f>
        <v>2.9945829724567549E-3</v>
      </c>
      <c r="I405" s="1">
        <f>'[1]Electricity and CHPs_IN'!E68</f>
        <v>0.25778061191013552</v>
      </c>
      <c r="J405" s="1">
        <f>'[1]Electricity and CHPs_IN'!F68</f>
        <v>0.34056730854887185</v>
      </c>
      <c r="K405" s="1">
        <f>'[1]Electricity and CHPs_IN'!G68</f>
        <v>0.45323622859453422</v>
      </c>
    </row>
    <row r="406" spans="1:19" x14ac:dyDescent="0.25">
      <c r="A406" s="5" t="s">
        <v>5</v>
      </c>
      <c r="B406" s="5" t="str">
        <f t="shared" si="216"/>
        <v>SPS2</v>
      </c>
      <c r="C406" s="5" t="s">
        <v>7</v>
      </c>
      <c r="D406" t="s">
        <v>151</v>
      </c>
      <c r="E406" t="str">
        <f t="shared" si="205"/>
        <v>PJ/yr.</v>
      </c>
      <c r="F406" s="1">
        <f>'[1]Electricity and CHPs_IN'!B69</f>
        <v>3.4743783728939052E-4</v>
      </c>
      <c r="G406" s="1">
        <f>'[1]Electricity and CHPs_IN'!C69</f>
        <v>1.2845083100273649E-3</v>
      </c>
      <c r="H406" s="1">
        <f>'[1]Electricity and CHPs_IN'!D69</f>
        <v>1.305376146601451E-3</v>
      </c>
      <c r="I406" s="1">
        <f>'[1]Electricity and CHPs_IN'!E69</f>
        <v>4.4179312998453976E-3</v>
      </c>
      <c r="J406" s="1">
        <f>'[1]Electricity and CHPs_IN'!F69</f>
        <v>6.8873626424134481E-3</v>
      </c>
      <c r="K406" s="1">
        <f>'[1]Electricity and CHPs_IN'!G69</f>
        <v>5.0623372057712942E-3</v>
      </c>
    </row>
    <row r="407" spans="1:19" x14ac:dyDescent="0.25">
      <c r="A407" s="5"/>
      <c r="B407" s="9" t="str">
        <f t="shared" si="216"/>
        <v>SPS2</v>
      </c>
      <c r="C407" s="2" t="str">
        <f t="shared" ref="B407:C407" si="232">C406</f>
        <v>CH</v>
      </c>
      <c r="D407" s="2" t="s">
        <v>190</v>
      </c>
      <c r="E407" s="2" t="str">
        <f>E395</f>
        <v>PJ/yr.</v>
      </c>
      <c r="F407" s="3">
        <f>F408+F461</f>
        <v>56.580120114566554</v>
      </c>
      <c r="G407" s="3">
        <f t="shared" ref="G407:K407" si="233">G408+G461</f>
        <v>53.813898840510291</v>
      </c>
      <c r="H407" s="3">
        <f t="shared" si="233"/>
        <v>53.407601167038919</v>
      </c>
      <c r="I407" s="3">
        <f t="shared" si="233"/>
        <v>57.579633099475039</v>
      </c>
      <c r="J407" s="3">
        <f t="shared" si="233"/>
        <v>64.429986528581637</v>
      </c>
      <c r="K407" s="3">
        <f t="shared" si="233"/>
        <v>73.70965127829426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tr">
        <f t="shared" si="216"/>
        <v>SPS2</v>
      </c>
      <c r="C408" s="5" t="s">
        <v>7</v>
      </c>
      <c r="D408" t="s">
        <v>863</v>
      </c>
      <c r="E408" t="str">
        <f>E396</f>
        <v>PJ/yr.</v>
      </c>
      <c r="F408" s="1">
        <f t="shared" ref="F408:K408" si="234">F409+F438</f>
        <v>48.491750381280006</v>
      </c>
      <c r="G408" s="1">
        <f t="shared" si="234"/>
        <v>45.289183251818244</v>
      </c>
      <c r="H408" s="1">
        <f t="shared" si="234"/>
        <v>43.370135823558144</v>
      </c>
      <c r="I408" s="1">
        <f t="shared" si="234"/>
        <v>45.435441380991037</v>
      </c>
      <c r="J408" s="1">
        <f t="shared" si="234"/>
        <v>50.668675580523626</v>
      </c>
      <c r="K408" s="1">
        <f t="shared" si="234"/>
        <v>47.908748751343396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tr">
        <f t="shared" si="216"/>
        <v>SPS2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38.837563979155512</v>
      </c>
      <c r="G409" s="1">
        <f t="shared" ref="G409:K409" si="235">SUM(G410,G416,G425,G434,G436)</f>
        <v>34.104223697910747</v>
      </c>
      <c r="H409" s="1">
        <f t="shared" si="235"/>
        <v>34.242436878145107</v>
      </c>
      <c r="I409" s="1">
        <f t="shared" si="235"/>
        <v>37.009292028765948</v>
      </c>
      <c r="J409" s="1">
        <f t="shared" si="235"/>
        <v>40.017654242487069</v>
      </c>
      <c r="K409" s="1">
        <f t="shared" si="235"/>
        <v>40.299126858449249</v>
      </c>
    </row>
    <row r="410" spans="1:19" x14ac:dyDescent="0.25">
      <c r="A410" s="5"/>
      <c r="B410" s="5" t="str">
        <f t="shared" si="216"/>
        <v>SPS2</v>
      </c>
      <c r="C410" s="5" t="s">
        <v>7</v>
      </c>
      <c r="D410" t="s">
        <v>865</v>
      </c>
      <c r="E410" t="s">
        <v>8</v>
      </c>
      <c r="F410" s="1">
        <f>F411</f>
        <v>1.9222049548689786E-2</v>
      </c>
      <c r="G410" s="1">
        <f t="shared" ref="G410:K410" si="236">G411</f>
        <v>1.5799207953744749E-3</v>
      </c>
      <c r="H410" s="1">
        <f t="shared" si="236"/>
        <v>1.6886299350246416E-2</v>
      </c>
      <c r="I410" s="1">
        <f t="shared" si="236"/>
        <v>7.630084156479304E-3</v>
      </c>
      <c r="J410" s="1">
        <f t="shared" si="236"/>
        <v>8.1917349871270095E-3</v>
      </c>
      <c r="K410" s="1">
        <f t="shared" si="236"/>
        <v>1.8490637976412958E-5</v>
      </c>
    </row>
    <row r="411" spans="1:19" x14ac:dyDescent="0.25">
      <c r="A411" s="5"/>
      <c r="B411" s="5" t="str">
        <f t="shared" si="216"/>
        <v>SPS2</v>
      </c>
      <c r="C411" s="5" t="s">
        <v>7</v>
      </c>
      <c r="D411" t="s">
        <v>231</v>
      </c>
      <c r="E411" t="s">
        <v>8</v>
      </c>
      <c r="F411" s="1">
        <f>'[1]Electricity and CHPs_IN'!B$28-F298</f>
        <v>1.9222049548689786E-2</v>
      </c>
      <c r="G411" s="1">
        <f>'[1]Electricity and CHPs_IN'!C$28-G298</f>
        <v>1.5799207953744749E-3</v>
      </c>
      <c r="H411" s="1">
        <f>'[1]Electricity and CHPs_IN'!D$28-H298</f>
        <v>1.6886299350246416E-2</v>
      </c>
      <c r="I411" s="1">
        <f>'[1]Electricity and CHPs_IN'!E$28-I298</f>
        <v>7.630084156479304E-3</v>
      </c>
      <c r="J411" s="1">
        <f>'[1]Electricity and CHPs_IN'!F$28-J298</f>
        <v>8.1917349871270095E-3</v>
      </c>
      <c r="K411" s="1">
        <f>'[1]Electricity and CHPs_IN'!G$28-K298</f>
        <v>1.8490637976412958E-5</v>
      </c>
    </row>
    <row r="412" spans="1:19" x14ac:dyDescent="0.25">
      <c r="A412" s="5"/>
      <c r="B412" s="5" t="str">
        <f t="shared" si="216"/>
        <v>SPS2</v>
      </c>
      <c r="C412" s="5" t="s">
        <v>7</v>
      </c>
      <c r="D412" t="s">
        <v>866</v>
      </c>
      <c r="E412" t="s">
        <v>8</v>
      </c>
      <c r="F412" s="1">
        <f>F413</f>
        <v>1.9222049548689786E-2</v>
      </c>
      <c r="G412" s="1">
        <f t="shared" ref="G412:K412" si="237">G413</f>
        <v>1.5799207953744749E-3</v>
      </c>
      <c r="H412" s="1">
        <f t="shared" si="237"/>
        <v>1.6886299350246416E-2</v>
      </c>
      <c r="I412" s="1">
        <f t="shared" si="237"/>
        <v>7.630084156479304E-3</v>
      </c>
      <c r="J412" s="1">
        <f t="shared" si="237"/>
        <v>8.1917349871270095E-3</v>
      </c>
      <c r="K412" s="1">
        <f t="shared" si="237"/>
        <v>1.8490637976412958E-5</v>
      </c>
    </row>
    <row r="413" spans="1:19" x14ac:dyDescent="0.25">
      <c r="A413" s="5"/>
      <c r="B413" s="5" t="str">
        <f t="shared" si="216"/>
        <v>SPS2</v>
      </c>
      <c r="C413" s="5" t="s">
        <v>7</v>
      </c>
      <c r="D413" t="s">
        <v>523</v>
      </c>
      <c r="E413" t="s">
        <v>8</v>
      </c>
      <c r="F413" s="1">
        <f>F411-F415</f>
        <v>1.9222049548689786E-2</v>
      </c>
      <c r="G413" s="1">
        <f t="shared" ref="G413:K413" si="238">G411-G415</f>
        <v>1.5799207953744749E-3</v>
      </c>
      <c r="H413" s="1">
        <f t="shared" si="238"/>
        <v>1.6886299350246416E-2</v>
      </c>
      <c r="I413" s="1">
        <f t="shared" si="238"/>
        <v>7.630084156479304E-3</v>
      </c>
      <c r="J413" s="1">
        <f t="shared" si="238"/>
        <v>8.1917349871270095E-3</v>
      </c>
      <c r="K413" s="1">
        <f t="shared" si="238"/>
        <v>1.8490637976412958E-5</v>
      </c>
    </row>
    <row r="414" spans="1:19" x14ac:dyDescent="0.25">
      <c r="A414" s="5"/>
      <c r="B414" s="5" t="str">
        <f t="shared" si="216"/>
        <v>SPS2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39">G415</f>
        <v>0</v>
      </c>
      <c r="H414" s="1">
        <f t="shared" si="239"/>
        <v>0</v>
      </c>
      <c r="I414" s="1">
        <f t="shared" si="239"/>
        <v>0</v>
      </c>
      <c r="J414" s="1">
        <f t="shared" si="239"/>
        <v>0</v>
      </c>
      <c r="K414" s="1">
        <f t="shared" si="239"/>
        <v>0</v>
      </c>
    </row>
    <row r="415" spans="1:19" x14ac:dyDescent="0.25">
      <c r="A415" s="5"/>
      <c r="B415" s="5" t="str">
        <f t="shared" si="216"/>
        <v>SPS2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0">IFERROR(G306/G298,0)*G411</f>
        <v>0</v>
      </c>
      <c r="H415" s="1">
        <f t="shared" si="240"/>
        <v>0</v>
      </c>
      <c r="I415" s="1">
        <f t="shared" si="240"/>
        <v>0</v>
      </c>
      <c r="J415" s="1">
        <f t="shared" si="240"/>
        <v>0</v>
      </c>
      <c r="K415" s="1">
        <f t="shared" si="240"/>
        <v>0</v>
      </c>
    </row>
    <row r="416" spans="1:19" x14ac:dyDescent="0.25">
      <c r="A416" s="5"/>
      <c r="B416" s="5" t="str">
        <f t="shared" si="216"/>
        <v>SPS2</v>
      </c>
      <c r="C416" s="5" t="s">
        <v>7</v>
      </c>
      <c r="D416" t="s">
        <v>868</v>
      </c>
      <c r="E416" t="s">
        <v>8</v>
      </c>
      <c r="F416" s="1">
        <f>SUM(F417:F418)</f>
        <v>2.3978065166494504</v>
      </c>
      <c r="G416" s="1">
        <f t="shared" ref="G416:K416" si="241">SUM(G417:G418)</f>
        <v>2.1869712315301217E-3</v>
      </c>
      <c r="H416" s="1">
        <f t="shared" si="241"/>
        <v>1.9361397575627104E-2</v>
      </c>
      <c r="I416" s="1">
        <f t="shared" si="241"/>
        <v>7.7813115703752114E-2</v>
      </c>
      <c r="J416" s="1">
        <f t="shared" si="241"/>
        <v>0.1047023828684459</v>
      </c>
      <c r="K416" s="1">
        <f t="shared" si="241"/>
        <v>9.3620124303940631E-4</v>
      </c>
    </row>
    <row r="417" spans="1:11" x14ac:dyDescent="0.25">
      <c r="A417" s="5"/>
      <c r="B417" s="5" t="str">
        <f t="shared" si="216"/>
        <v>SPS2</v>
      </c>
      <c r="C417" s="5" t="s">
        <v>7</v>
      </c>
      <c r="D417" t="s">
        <v>191</v>
      </c>
      <c r="E417" t="s">
        <v>8</v>
      </c>
      <c r="F417" s="1">
        <f>'[1]Electricity and CHPs_IN'!B$24-F312</f>
        <v>2.3978065166494504</v>
      </c>
      <c r="G417" s="1">
        <f>'[1]Electricity and CHPs_IN'!C$24-G312</f>
        <v>2.1869712315301217E-3</v>
      </c>
      <c r="H417" s="1">
        <f>'[1]Electricity and CHPs_IN'!D$24-H312</f>
        <v>1.9361397575627104E-2</v>
      </c>
      <c r="I417" s="1">
        <f>'[1]Electricity and CHPs_IN'!E$24-I312</f>
        <v>7.7813115703752114E-2</v>
      </c>
      <c r="J417" s="1">
        <f>'[1]Electricity and CHPs_IN'!F$24-J312</f>
        <v>6.031139534861385E-2</v>
      </c>
      <c r="K417" s="1">
        <f>'[1]Electricity and CHPs_IN'!G$24-K312</f>
        <v>5.4414488681468764E-4</v>
      </c>
    </row>
    <row r="418" spans="1:11" x14ac:dyDescent="0.25">
      <c r="A418" s="5"/>
      <c r="B418" s="5" t="str">
        <f t="shared" si="216"/>
        <v>SPS2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4.4390987519832045E-2</v>
      </c>
      <c r="K418" s="1">
        <f>'[1]Electricity and CHPs_IN'!G$29-K313</f>
        <v>3.9205635622471862E-4</v>
      </c>
    </row>
    <row r="419" spans="1:11" x14ac:dyDescent="0.25">
      <c r="A419" s="5"/>
      <c r="B419" s="5" t="str">
        <f t="shared" si="216"/>
        <v>SPS2</v>
      </c>
      <c r="C419" s="5" t="s">
        <v>7</v>
      </c>
      <c r="D419" t="s">
        <v>869</v>
      </c>
      <c r="E419" t="s">
        <v>8</v>
      </c>
      <c r="F419" s="1">
        <f>SUM(F420:F421)</f>
        <v>2.3363331261290292</v>
      </c>
      <c r="G419" s="1">
        <f t="shared" ref="G419:K419" si="242">SUM(G420:G421)</f>
        <v>2.117695850078647E-3</v>
      </c>
      <c r="H419" s="1">
        <f t="shared" si="242"/>
        <v>1.9333178354805854E-2</v>
      </c>
      <c r="I419" s="1">
        <f t="shared" si="242"/>
        <v>7.4899799283208515E-2</v>
      </c>
      <c r="J419" s="1">
        <f t="shared" si="242"/>
        <v>8.3869877137467644E-2</v>
      </c>
      <c r="K419" s="1">
        <f t="shared" si="242"/>
        <v>3.0239826215407823E-4</v>
      </c>
    </row>
    <row r="420" spans="1:11" x14ac:dyDescent="0.25">
      <c r="A420" s="5"/>
      <c r="B420" s="5" t="str">
        <f t="shared" si="216"/>
        <v>SPS2</v>
      </c>
      <c r="C420" s="5" t="s">
        <v>7</v>
      </c>
      <c r="D420" t="s">
        <v>594</v>
      </c>
      <c r="E420" t="s">
        <v>8</v>
      </c>
      <c r="F420" s="1">
        <f>F417-F423</f>
        <v>2.3363331261290292</v>
      </c>
      <c r="G420" s="1">
        <f t="shared" ref="G420:K420" si="243">G417-G423</f>
        <v>2.117695850078647E-3</v>
      </c>
      <c r="H420" s="1">
        <f t="shared" si="243"/>
        <v>1.9333178354805854E-2</v>
      </c>
      <c r="I420" s="1">
        <f t="shared" si="243"/>
        <v>7.4899799283208515E-2</v>
      </c>
      <c r="J420" s="1">
        <f t="shared" si="243"/>
        <v>4.8311310395227895E-2</v>
      </c>
      <c r="K420" s="1">
        <f t="shared" si="243"/>
        <v>1.7576185607121974E-4</v>
      </c>
    </row>
    <row r="421" spans="1:11" x14ac:dyDescent="0.25">
      <c r="A421" s="5"/>
      <c r="B421" s="5" t="str">
        <f t="shared" si="216"/>
        <v>SPS2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44">G418-G424</f>
        <v>0</v>
      </c>
      <c r="H421" s="1">
        <f t="shared" si="244"/>
        <v>0</v>
      </c>
      <c r="I421" s="1">
        <f t="shared" si="244"/>
        <v>0</v>
      </c>
      <c r="J421" s="1">
        <f t="shared" si="244"/>
        <v>3.5558566742239749E-2</v>
      </c>
      <c r="K421" s="1">
        <f t="shared" si="244"/>
        <v>1.2663640608285849E-4</v>
      </c>
    </row>
    <row r="422" spans="1:11" x14ac:dyDescent="0.25">
      <c r="A422" s="5"/>
      <c r="B422" s="5" t="str">
        <f t="shared" si="216"/>
        <v>SPS2</v>
      </c>
      <c r="C422" s="5" t="s">
        <v>7</v>
      </c>
      <c r="D422" t="s">
        <v>870</v>
      </c>
      <c r="E422" t="s">
        <v>8</v>
      </c>
      <c r="F422" s="1">
        <f>SUM(F423:F424)</f>
        <v>6.1473390520421355E-2</v>
      </c>
      <c r="G422" s="1">
        <f t="shared" ref="G422:K422" si="245">SUM(G423:G424)</f>
        <v>6.9275381451474807E-5</v>
      </c>
      <c r="H422" s="1">
        <f t="shared" si="245"/>
        <v>2.8219220821250837E-5</v>
      </c>
      <c r="I422" s="1">
        <f t="shared" si="245"/>
        <v>2.9133164205436025E-3</v>
      </c>
      <c r="J422" s="1">
        <f t="shared" si="245"/>
        <v>2.0832505730978251E-2</v>
      </c>
      <c r="K422" s="1">
        <f t="shared" si="245"/>
        <v>6.3380298088532797E-4</v>
      </c>
    </row>
    <row r="423" spans="1:11" x14ac:dyDescent="0.25">
      <c r="A423" s="5"/>
      <c r="B423" s="5" t="str">
        <f t="shared" si="216"/>
        <v>SPS2</v>
      </c>
      <c r="C423" s="5" t="s">
        <v>7</v>
      </c>
      <c r="D423" t="s">
        <v>655</v>
      </c>
      <c r="E423" t="s">
        <v>8</v>
      </c>
      <c r="F423" s="1">
        <f>IFERROR(F344/F312,0)*F417</f>
        <v>6.1473390520421355E-2</v>
      </c>
      <c r="G423" s="1">
        <f t="shared" ref="G423:K423" si="246">IFERROR(G344/G312,0)*G417</f>
        <v>6.9275381451474807E-5</v>
      </c>
      <c r="H423" s="1">
        <f t="shared" si="246"/>
        <v>2.8219220821250837E-5</v>
      </c>
      <c r="I423" s="1">
        <f t="shared" si="246"/>
        <v>2.9133164205436025E-3</v>
      </c>
      <c r="J423" s="1">
        <f t="shared" si="246"/>
        <v>1.2000084953385956E-2</v>
      </c>
      <c r="K423" s="1">
        <f t="shared" si="246"/>
        <v>3.683830307434679E-4</v>
      </c>
    </row>
    <row r="424" spans="1:11" x14ac:dyDescent="0.25">
      <c r="A424" s="5"/>
      <c r="B424" s="5" t="str">
        <f t="shared" si="216"/>
        <v>SPS2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47">IFERROR(G345/G313,0)*G418</f>
        <v>0</v>
      </c>
      <c r="H424" s="1">
        <f t="shared" si="247"/>
        <v>0</v>
      </c>
      <c r="I424" s="1">
        <f t="shared" si="247"/>
        <v>0</v>
      </c>
      <c r="J424" s="1">
        <f t="shared" si="247"/>
        <v>8.8324207775922949E-3</v>
      </c>
      <c r="K424" s="1">
        <f t="shared" si="247"/>
        <v>2.6541995014186013E-4</v>
      </c>
    </row>
    <row r="425" spans="1:11" x14ac:dyDescent="0.25">
      <c r="A425" s="5"/>
      <c r="B425" s="5" t="str">
        <f t="shared" si="216"/>
        <v>SPS2</v>
      </c>
      <c r="C425" s="5" t="s">
        <v>7</v>
      </c>
      <c r="D425" t="s">
        <v>871</v>
      </c>
      <c r="E425" t="s">
        <v>8</v>
      </c>
      <c r="F425" s="1">
        <f>SUM(F426:F427)</f>
        <v>36.420429165445157</v>
      </c>
      <c r="G425" s="1">
        <f t="shared" ref="G425:K425" si="248">SUM(G426:G427)</f>
        <v>34.098360367111795</v>
      </c>
      <c r="H425" s="1">
        <f t="shared" si="248"/>
        <v>34.20366573154103</v>
      </c>
      <c r="I425" s="1">
        <f t="shared" si="248"/>
        <v>36.917972329117838</v>
      </c>
      <c r="J425" s="1">
        <f t="shared" si="248"/>
        <v>39.248099311947904</v>
      </c>
      <c r="K425" s="1">
        <f t="shared" si="248"/>
        <v>37.97651300310774</v>
      </c>
    </row>
    <row r="426" spans="1:11" x14ac:dyDescent="0.25">
      <c r="A426" s="5"/>
      <c r="B426" s="5" t="str">
        <f t="shared" si="216"/>
        <v>SPS2</v>
      </c>
      <c r="C426" s="5" t="s">
        <v>7</v>
      </c>
      <c r="D426" t="s">
        <v>193</v>
      </c>
      <c r="E426" t="s">
        <v>8</v>
      </c>
      <c r="F426" s="1">
        <f>'[1]Electricity and CHPs_IN'!B$26-F359</f>
        <v>36.420429165445157</v>
      </c>
      <c r="G426" s="1">
        <f>'[1]Electricity and CHPs_IN'!C$26-G359</f>
        <v>34.098360367111795</v>
      </c>
      <c r="H426" s="1">
        <f>'[1]Electricity and CHPs_IN'!D$26-H359</f>
        <v>34.20366573154103</v>
      </c>
      <c r="I426" s="1">
        <f>'[1]Electricity and CHPs_IN'!E$26-I359</f>
        <v>36.917972329117838</v>
      </c>
      <c r="J426" s="1">
        <f>'[1]Electricity and CHPs_IN'!F$26-J359</f>
        <v>34.819169304291385</v>
      </c>
      <c r="K426" s="1">
        <f>'[1]Electricity and CHPs_IN'!G$26-K359</f>
        <v>24.928981723461572</v>
      </c>
    </row>
    <row r="427" spans="1:11" x14ac:dyDescent="0.25">
      <c r="A427" s="5"/>
      <c r="B427" s="5" t="str">
        <f t="shared" si="216"/>
        <v>SPS2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4.4289300076565183</v>
      </c>
      <c r="K427" s="1">
        <f>'[1]Electricity and CHPs_IN'!G$27-K360</f>
        <v>13.047531279646165</v>
      </c>
    </row>
    <row r="428" spans="1:11" x14ac:dyDescent="0.25">
      <c r="A428" s="5"/>
      <c r="B428" s="5" t="str">
        <f t="shared" si="216"/>
        <v>SPS2</v>
      </c>
      <c r="C428" s="5" t="s">
        <v>7</v>
      </c>
      <c r="D428" t="s">
        <v>872</v>
      </c>
      <c r="E428" t="s">
        <v>8</v>
      </c>
      <c r="F428" s="1">
        <f>SUM(F429:F430)</f>
        <v>18.210214582722578</v>
      </c>
      <c r="G428" s="1">
        <f t="shared" ref="G428:K428" si="249">SUM(G429:G430)</f>
        <v>17.049180183555897</v>
      </c>
      <c r="H428" s="1">
        <f t="shared" si="249"/>
        <v>17.101832865770515</v>
      </c>
      <c r="I428" s="1">
        <f t="shared" si="249"/>
        <v>18.458986164558919</v>
      </c>
      <c r="J428" s="1">
        <f t="shared" si="249"/>
        <v>19.624049655973952</v>
      </c>
      <c r="K428" s="1">
        <f t="shared" si="249"/>
        <v>18.98825650155387</v>
      </c>
    </row>
    <row r="429" spans="1:11" x14ac:dyDescent="0.25">
      <c r="A429" s="5"/>
      <c r="B429" s="5" t="str">
        <f t="shared" si="216"/>
        <v>SPS2</v>
      </c>
      <c r="C429" s="5" t="s">
        <v>7</v>
      </c>
      <c r="D429" t="s">
        <v>195</v>
      </c>
      <c r="E429" t="s">
        <v>8</v>
      </c>
      <c r="F429" s="1">
        <f>IFERROR(F366/F359,0)*F426</f>
        <v>18.210214582722578</v>
      </c>
      <c r="G429" s="1">
        <f t="shared" ref="G429:K429" si="250">IFERROR(G366/G359,0)*G426</f>
        <v>17.049180183555897</v>
      </c>
      <c r="H429" s="1">
        <f t="shared" si="250"/>
        <v>17.101832865770515</v>
      </c>
      <c r="I429" s="1">
        <f t="shared" si="250"/>
        <v>18.458986164558919</v>
      </c>
      <c r="J429" s="1">
        <f t="shared" si="250"/>
        <v>17.409584652145693</v>
      </c>
      <c r="K429" s="1">
        <f t="shared" si="250"/>
        <v>12.464490861730786</v>
      </c>
    </row>
    <row r="430" spans="1:11" x14ac:dyDescent="0.25">
      <c r="A430" s="5"/>
      <c r="B430" s="5" t="str">
        <f t="shared" si="216"/>
        <v>SPS2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1">IFERROR(G367/G360,0)*G427</f>
        <v>0</v>
      </c>
      <c r="H430" s="1">
        <f t="shared" si="251"/>
        <v>0</v>
      </c>
      <c r="I430" s="1">
        <f t="shared" si="251"/>
        <v>0</v>
      </c>
      <c r="J430" s="1">
        <f t="shared" si="251"/>
        <v>2.2144650038282592</v>
      </c>
      <c r="K430" s="1">
        <f t="shared" si="251"/>
        <v>6.5237656398230826</v>
      </c>
    </row>
    <row r="431" spans="1:11" x14ac:dyDescent="0.25">
      <c r="A431" s="5"/>
      <c r="B431" s="5" t="str">
        <f t="shared" si="216"/>
        <v>SPS2</v>
      </c>
      <c r="C431" s="5" t="s">
        <v>7</v>
      </c>
      <c r="D431" t="s">
        <v>873</v>
      </c>
      <c r="E431" t="s">
        <v>8</v>
      </c>
      <c r="F431" s="1">
        <f>SUM(F432:F433)</f>
        <v>18.210214582722578</v>
      </c>
      <c r="G431" s="1">
        <f t="shared" ref="G431:K431" si="252">SUM(G432:G433)</f>
        <v>17.049180183555897</v>
      </c>
      <c r="H431" s="1">
        <f t="shared" si="252"/>
        <v>17.101832865770515</v>
      </c>
      <c r="I431" s="1">
        <f t="shared" si="252"/>
        <v>18.458986164558919</v>
      </c>
      <c r="J431" s="1">
        <f t="shared" si="252"/>
        <v>19.624049655973952</v>
      </c>
      <c r="K431" s="1">
        <f t="shared" si="252"/>
        <v>18.98825650155387</v>
      </c>
    </row>
    <row r="432" spans="1:11" x14ac:dyDescent="0.25">
      <c r="A432" s="5"/>
      <c r="B432" s="5" t="str">
        <f t="shared" si="216"/>
        <v>SPS2</v>
      </c>
      <c r="C432" s="5" t="s">
        <v>7</v>
      </c>
      <c r="D432" t="s">
        <v>197</v>
      </c>
      <c r="E432" t="s">
        <v>8</v>
      </c>
      <c r="F432" s="1">
        <f>F426-F429</f>
        <v>18.210214582722578</v>
      </c>
      <c r="G432" s="1">
        <f t="shared" ref="G432:K432" si="253">G426-G429</f>
        <v>17.049180183555897</v>
      </c>
      <c r="H432" s="1">
        <f t="shared" si="253"/>
        <v>17.101832865770515</v>
      </c>
      <c r="I432" s="1">
        <f t="shared" si="253"/>
        <v>18.458986164558919</v>
      </c>
      <c r="J432" s="1">
        <f t="shared" si="253"/>
        <v>17.409584652145693</v>
      </c>
      <c r="K432" s="1">
        <f t="shared" si="253"/>
        <v>12.464490861730786</v>
      </c>
    </row>
    <row r="433" spans="1:11" x14ac:dyDescent="0.25">
      <c r="A433" s="5"/>
      <c r="B433" s="5" t="str">
        <f t="shared" si="216"/>
        <v>SPS2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54">G427-G430</f>
        <v>0</v>
      </c>
      <c r="H433" s="1">
        <f t="shared" si="254"/>
        <v>0</v>
      </c>
      <c r="I433" s="1">
        <f t="shared" si="254"/>
        <v>0</v>
      </c>
      <c r="J433" s="1">
        <f t="shared" si="254"/>
        <v>2.2144650038282592</v>
      </c>
      <c r="K433" s="1">
        <f t="shared" si="254"/>
        <v>6.5237656398230826</v>
      </c>
    </row>
    <row r="434" spans="1:11" x14ac:dyDescent="0.25">
      <c r="A434" s="5"/>
      <c r="B434" s="5" t="str">
        <f t="shared" si="216"/>
        <v>SPS2</v>
      </c>
      <c r="C434" s="5" t="s">
        <v>7</v>
      </c>
      <c r="D434" t="s">
        <v>874</v>
      </c>
      <c r="E434" t="s">
        <v>8</v>
      </c>
      <c r="F434" s="1">
        <f>F435</f>
        <v>1.0624751221730442E-4</v>
      </c>
      <c r="G434" s="1">
        <f t="shared" ref="G434:K434" si="255">G435</f>
        <v>2.0964387720476792E-3</v>
      </c>
      <c r="H434" s="1">
        <f t="shared" si="255"/>
        <v>2.5234496782019934E-3</v>
      </c>
      <c r="I434" s="1">
        <f t="shared" si="255"/>
        <v>5.8764997878820334E-3</v>
      </c>
      <c r="J434" s="1">
        <f t="shared" si="255"/>
        <v>0.6500214340778272</v>
      </c>
      <c r="K434" s="1">
        <f t="shared" si="255"/>
        <v>2.3171959992334497</v>
      </c>
    </row>
    <row r="435" spans="1:11" x14ac:dyDescent="0.25">
      <c r="A435" s="5"/>
      <c r="B435" s="5" t="str">
        <f t="shared" si="216"/>
        <v>SPS2</v>
      </c>
      <c r="C435" s="5" t="s">
        <v>7</v>
      </c>
      <c r="D435" t="s">
        <v>199</v>
      </c>
      <c r="E435" t="s">
        <v>8</v>
      </c>
      <c r="F435" s="1">
        <f>'[1]Electricity and CHPs_IN'!B$25-F378</f>
        <v>1.0624751221730442E-4</v>
      </c>
      <c r="G435" s="1">
        <f>'[1]Electricity and CHPs_IN'!C$25-G378</f>
        <v>2.0964387720476792E-3</v>
      </c>
      <c r="H435" s="1">
        <f>'[1]Electricity and CHPs_IN'!D$25-H378</f>
        <v>2.5234496782019934E-3</v>
      </c>
      <c r="I435" s="1">
        <f>'[1]Electricity and CHPs_IN'!E$25-I378</f>
        <v>5.8764997878820334E-3</v>
      </c>
      <c r="J435" s="1">
        <f>'[1]Electricity and CHPs_IN'!F$25-J378</f>
        <v>0.6500214340778272</v>
      </c>
      <c r="K435" s="1">
        <f>'[1]Electricity and CHPs_IN'!G$25-K378</f>
        <v>2.3171959992334497</v>
      </c>
    </row>
    <row r="436" spans="1:11" x14ac:dyDescent="0.25">
      <c r="A436" s="5"/>
      <c r="B436" s="5" t="str">
        <f t="shared" ref="B436:B499" si="256">B435</f>
        <v>SPS2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57">+G437</f>
        <v>0</v>
      </c>
      <c r="H436" s="1">
        <f t="shared" si="257"/>
        <v>0</v>
      </c>
      <c r="I436" s="1">
        <f t="shared" si="257"/>
        <v>0</v>
      </c>
      <c r="J436" s="1">
        <f t="shared" si="257"/>
        <v>6.6393786057585722E-3</v>
      </c>
      <c r="K436" s="1">
        <f t="shared" si="257"/>
        <v>4.4631642270500128E-3</v>
      </c>
    </row>
    <row r="437" spans="1:11" x14ac:dyDescent="0.25">
      <c r="A437" s="5"/>
      <c r="B437" s="5" t="str">
        <f t="shared" si="256"/>
        <v>SPS2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6.6393786057585722E-3</v>
      </c>
      <c r="K437" s="1">
        <f>'[1]Electricity and CHPs_IN'!G$30-K396</f>
        <v>4.4631642270500128E-3</v>
      </c>
    </row>
    <row r="438" spans="1:11" x14ac:dyDescent="0.25">
      <c r="A438" s="5"/>
      <c r="B438" s="5" t="str">
        <f t="shared" si="256"/>
        <v>SPS2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9.654186402124493</v>
      </c>
      <c r="G438" s="1">
        <f t="shared" ref="G438:K438" si="258">SUM(G439,G445,G447,G453,G455,G457,G459)</f>
        <v>11.1849595539075</v>
      </c>
      <c r="H438" s="1">
        <f t="shared" si="258"/>
        <v>9.1276989454130337</v>
      </c>
      <c r="I438" s="1">
        <f t="shared" si="258"/>
        <v>8.4261493522250852</v>
      </c>
      <c r="J438" s="1">
        <f t="shared" si="258"/>
        <v>10.651021338036555</v>
      </c>
      <c r="K438" s="1">
        <f t="shared" si="258"/>
        <v>7.6096218928941486</v>
      </c>
    </row>
    <row r="439" spans="1:11" x14ac:dyDescent="0.25">
      <c r="A439" s="5"/>
      <c r="B439" s="5" t="str">
        <f t="shared" si="256"/>
        <v>SPS2</v>
      </c>
      <c r="C439" s="5" t="s">
        <v>7</v>
      </c>
      <c r="D439" t="s">
        <v>877</v>
      </c>
      <c r="E439" t="str">
        <f>E396</f>
        <v>PJ/yr.</v>
      </c>
      <c r="F439" s="1">
        <f>+F440</f>
        <v>4.3959803015498542</v>
      </c>
      <c r="G439" s="1">
        <f t="shared" ref="G439:K439" si="259">+G440</f>
        <v>0.52125864703184011</v>
      </c>
      <c r="H439" s="1">
        <f t="shared" si="259"/>
        <v>2.6721488190006002</v>
      </c>
      <c r="I439" s="1">
        <f t="shared" si="259"/>
        <v>3.1579544886385135E-3</v>
      </c>
      <c r="J439" s="1">
        <f t="shared" si="259"/>
        <v>3.393762361489427</v>
      </c>
      <c r="K439" s="1">
        <f t="shared" si="259"/>
        <v>8.4082254718155958E-4</v>
      </c>
    </row>
    <row r="440" spans="1:11" x14ac:dyDescent="0.25">
      <c r="A440" s="5"/>
      <c r="B440" s="5" t="str">
        <f t="shared" si="256"/>
        <v>SPS2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4.3959803015498542</v>
      </c>
      <c r="G440" s="1">
        <f t="shared" ref="G440:K440" si="260">SUM(G442:G444)</f>
        <v>0.52125864703184011</v>
      </c>
      <c r="H440" s="1">
        <f t="shared" si="260"/>
        <v>2.6721488190006002</v>
      </c>
      <c r="I440" s="1">
        <f t="shared" si="260"/>
        <v>3.1579544886385135E-3</v>
      </c>
      <c r="J440" s="1">
        <f t="shared" si="260"/>
        <v>3.393762361489427</v>
      </c>
      <c r="K440" s="1">
        <f t="shared" si="260"/>
        <v>8.4082254718155958E-4</v>
      </c>
    </row>
    <row r="441" spans="1:11" x14ac:dyDescent="0.25">
      <c r="A441" s="5"/>
      <c r="B441" s="5" t="str">
        <f t="shared" si="256"/>
        <v>SPS2</v>
      </c>
      <c r="C441" s="5" t="s">
        <v>7</v>
      </c>
      <c r="D441" t="s">
        <v>878</v>
      </c>
      <c r="E441" t="str">
        <f>E396</f>
        <v>PJ/yr.</v>
      </c>
      <c r="F441" s="1">
        <f>F442</f>
        <v>2.0280767005016296</v>
      </c>
      <c r="G441" s="1">
        <f t="shared" ref="G441:K441" si="261">G442</f>
        <v>0.51774603307411282</v>
      </c>
      <c r="H441" s="1">
        <f t="shared" si="261"/>
        <v>2.6698824808208035</v>
      </c>
      <c r="I441" s="1">
        <f t="shared" si="261"/>
        <v>2.2631179351877825E-3</v>
      </c>
      <c r="J441" s="1">
        <f t="shared" si="261"/>
        <v>2.4050141577447856E-3</v>
      </c>
      <c r="K441" s="1">
        <f t="shared" si="261"/>
        <v>5.8143915111440986E-5</v>
      </c>
    </row>
    <row r="442" spans="1:11" x14ac:dyDescent="0.25">
      <c r="A442" s="5"/>
      <c r="B442" s="5" t="str">
        <f t="shared" si="256"/>
        <v>SPS2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2.0280767005016296</v>
      </c>
      <c r="G442" s="1">
        <f>'[1]Electricity and CHPs_IN'!C$90</f>
        <v>0.51774603307411282</v>
      </c>
      <c r="H442" s="1">
        <f>'[1]Electricity and CHPs_IN'!D$90</f>
        <v>2.6698824808208035</v>
      </c>
      <c r="I442" s="1">
        <f>'[1]Electricity and CHPs_IN'!E$90</f>
        <v>2.2631179351877825E-3</v>
      </c>
      <c r="J442" s="1">
        <f>'[1]Electricity and CHPs_IN'!F$90</f>
        <v>2.4050141577447856E-3</v>
      </c>
      <c r="K442" s="1">
        <f>'[1]Electricity and CHPs_IN'!G$90</f>
        <v>5.8143915111440986E-5</v>
      </c>
    </row>
    <row r="443" spans="1:11" x14ac:dyDescent="0.25">
      <c r="A443" s="5"/>
      <c r="B443" s="5" t="str">
        <f t="shared" si="256"/>
        <v>SPS2</v>
      </c>
      <c r="C443" s="5" t="s">
        <v>7</v>
      </c>
      <c r="D443" t="s">
        <v>879</v>
      </c>
      <c r="E443" t="str">
        <f>E397</f>
        <v>PJ/yr.</v>
      </c>
      <c r="F443" s="1">
        <f>F444</f>
        <v>1.1839518005241125</v>
      </c>
      <c r="G443" s="1">
        <f t="shared" ref="G443:K443" si="262">G444</f>
        <v>1.7563069788636922E-3</v>
      </c>
      <c r="H443" s="1">
        <f t="shared" si="262"/>
        <v>1.1331690898982313E-3</v>
      </c>
      <c r="I443" s="1">
        <f t="shared" si="262"/>
        <v>4.4741827672536565E-4</v>
      </c>
      <c r="J443" s="1">
        <f t="shared" si="262"/>
        <v>1.6956786736658411</v>
      </c>
      <c r="K443" s="1">
        <f t="shared" si="262"/>
        <v>3.9133931603505928E-4</v>
      </c>
    </row>
    <row r="444" spans="1:11" x14ac:dyDescent="0.25">
      <c r="A444" s="5"/>
      <c r="B444" s="5" t="str">
        <f t="shared" si="256"/>
        <v>SPS2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1.1839518005241125</v>
      </c>
      <c r="G444" s="1">
        <f>'[1]Electricity and CHPs_IN'!C$91</f>
        <v>1.7563069788636922E-3</v>
      </c>
      <c r="H444" s="1">
        <f>'[1]Electricity and CHPs_IN'!D$91</f>
        <v>1.1331690898982313E-3</v>
      </c>
      <c r="I444" s="1">
        <f>'[1]Electricity and CHPs_IN'!E$91</f>
        <v>4.4741827672536565E-4</v>
      </c>
      <c r="J444" s="1">
        <f>'[1]Electricity and CHPs_IN'!F$91</f>
        <v>1.6956786736658411</v>
      </c>
      <c r="K444" s="1">
        <f>'[1]Electricity and CHPs_IN'!G$91</f>
        <v>3.9133931603505928E-4</v>
      </c>
    </row>
    <row r="445" spans="1:11" x14ac:dyDescent="0.25">
      <c r="A445" s="5"/>
      <c r="B445" s="5" t="str">
        <f t="shared" si="256"/>
        <v>SPS2</v>
      </c>
      <c r="C445" s="5" t="s">
        <v>7</v>
      </c>
      <c r="D445" t="s">
        <v>880</v>
      </c>
      <c r="E445" t="str">
        <f>E398</f>
        <v>PJ/yr.</v>
      </c>
      <c r="F445" s="1">
        <f>F446</f>
        <v>1.4500041383323992</v>
      </c>
      <c r="G445" s="1">
        <f t="shared" ref="G445:K445" si="263">G446</f>
        <v>3.8015264806984503</v>
      </c>
      <c r="H445" s="1">
        <f t="shared" si="263"/>
        <v>2.4077456509327058</v>
      </c>
      <c r="I445" s="1">
        <f t="shared" si="263"/>
        <v>0.97504687346032592</v>
      </c>
      <c r="J445" s="1">
        <f t="shared" si="263"/>
        <v>0</v>
      </c>
      <c r="K445" s="1">
        <f t="shared" si="263"/>
        <v>0</v>
      </c>
    </row>
    <row r="446" spans="1:11" x14ac:dyDescent="0.25">
      <c r="A446" s="5"/>
      <c r="B446" s="5" t="str">
        <f t="shared" si="256"/>
        <v>SPS2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1.4500041383323992</v>
      </c>
      <c r="G446" s="1">
        <f>'[1]Electricity and CHPs_IN'!C$92</f>
        <v>3.8015264806984503</v>
      </c>
      <c r="H446" s="1">
        <f>'[1]Electricity and CHPs_IN'!D$92</f>
        <v>2.4077456509327058</v>
      </c>
      <c r="I446" s="1">
        <f>'[1]Electricity and CHPs_IN'!E$92</f>
        <v>0.97504687346032592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tr">
        <f t="shared" si="256"/>
        <v>SPS2</v>
      </c>
      <c r="C447" s="5" t="s">
        <v>7</v>
      </c>
      <c r="D447" t="s">
        <v>881</v>
      </c>
      <c r="E447" t="str">
        <f>E399</f>
        <v>PJ/yr.</v>
      </c>
      <c r="F447" s="1">
        <f>F448</f>
        <v>0.21542418951590123</v>
      </c>
      <c r="G447" s="1">
        <f t="shared" ref="G447:K447" si="264">G448</f>
        <v>2.391988110389605</v>
      </c>
      <c r="H447" s="1">
        <f t="shared" si="264"/>
        <v>2.8738462419996284E-3</v>
      </c>
      <c r="I447" s="1">
        <f t="shared" si="264"/>
        <v>1.6117777447240593</v>
      </c>
      <c r="J447" s="1">
        <f t="shared" si="264"/>
        <v>7.4672208267484083E-4</v>
      </c>
      <c r="K447" s="1">
        <f t="shared" si="264"/>
        <v>0</v>
      </c>
    </row>
    <row r="448" spans="1:11" x14ac:dyDescent="0.25">
      <c r="A448" s="5"/>
      <c r="B448" s="5" t="str">
        <f t="shared" si="256"/>
        <v>SPS2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0.21542418951590123</v>
      </c>
      <c r="G448" s="1">
        <f>'[1]Electricity and CHPs_IN'!C$93</f>
        <v>2.391988110389605</v>
      </c>
      <c r="H448" s="1">
        <f>'[1]Electricity and CHPs_IN'!D$93</f>
        <v>2.8738462419996284E-3</v>
      </c>
      <c r="I448" s="1">
        <f>'[1]Electricity and CHPs_IN'!E$93</f>
        <v>1.6117777447240593</v>
      </c>
      <c r="J448" s="1">
        <f>'[1]Electricity and CHPs_IN'!F$93</f>
        <v>7.4672208267484083E-4</v>
      </c>
      <c r="K448" s="1">
        <f>'[1]Electricity and CHPs_IN'!G$93</f>
        <v>0</v>
      </c>
    </row>
    <row r="449" spans="1:11" x14ac:dyDescent="0.25">
      <c r="A449" s="5"/>
      <c r="B449" s="5" t="str">
        <f t="shared" si="256"/>
        <v>SPS2</v>
      </c>
      <c r="C449" s="5" t="s">
        <v>7</v>
      </c>
      <c r="D449" t="s">
        <v>883</v>
      </c>
      <c r="E449" t="str">
        <f>E399</f>
        <v>PJ/yr.</v>
      </c>
      <c r="F449" s="1">
        <f>F450</f>
        <v>0.21542418951590123</v>
      </c>
      <c r="G449" s="1">
        <f t="shared" ref="G449:K449" si="265">G450</f>
        <v>2.391988110389605</v>
      </c>
      <c r="H449" s="1">
        <f t="shared" si="265"/>
        <v>2.8738462419996284E-3</v>
      </c>
      <c r="I449" s="1">
        <f t="shared" si="265"/>
        <v>1.6117777447240593</v>
      </c>
      <c r="J449" s="1">
        <f t="shared" si="265"/>
        <v>7.4672208267484083E-4</v>
      </c>
      <c r="K449" s="1">
        <f t="shared" si="265"/>
        <v>0</v>
      </c>
    </row>
    <row r="450" spans="1:11" x14ac:dyDescent="0.25">
      <c r="A450" s="5"/>
      <c r="B450" s="5" t="str">
        <f t="shared" si="256"/>
        <v>SPS2</v>
      </c>
      <c r="C450" s="5" t="s">
        <v>7</v>
      </c>
      <c r="D450" t="s">
        <v>882</v>
      </c>
      <c r="E450" t="str">
        <f>E400</f>
        <v>PJ/yr.</v>
      </c>
      <c r="F450" s="1">
        <f>F448</f>
        <v>0.21542418951590123</v>
      </c>
      <c r="G450" s="1">
        <f t="shared" ref="G450:K450" si="266">G448</f>
        <v>2.391988110389605</v>
      </c>
      <c r="H450" s="1">
        <f t="shared" si="266"/>
        <v>2.8738462419996284E-3</v>
      </c>
      <c r="I450" s="1">
        <f t="shared" si="266"/>
        <v>1.6117777447240593</v>
      </c>
      <c r="J450" s="1">
        <f t="shared" si="266"/>
        <v>7.4672208267484083E-4</v>
      </c>
      <c r="K450" s="1">
        <f t="shared" si="266"/>
        <v>0</v>
      </c>
    </row>
    <row r="451" spans="1:11" x14ac:dyDescent="0.25">
      <c r="A451" s="5"/>
      <c r="B451" s="5" t="str">
        <f t="shared" si="256"/>
        <v>SPS2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67">G452</f>
        <v>0</v>
      </c>
      <c r="H451" s="1">
        <f t="shared" si="267"/>
        <v>0</v>
      </c>
      <c r="I451" s="1">
        <f t="shared" si="267"/>
        <v>0</v>
      </c>
      <c r="J451" s="1">
        <f t="shared" si="267"/>
        <v>0</v>
      </c>
      <c r="K451" s="1">
        <f t="shared" si="267"/>
        <v>0</v>
      </c>
    </row>
    <row r="452" spans="1:11" x14ac:dyDescent="0.25">
      <c r="A452" s="5"/>
      <c r="B452" s="5" t="str">
        <f t="shared" si="256"/>
        <v>SPS2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tr">
        <f t="shared" si="256"/>
        <v>SPS2</v>
      </c>
      <c r="C453" s="5" t="s">
        <v>7</v>
      </c>
      <c r="D453" t="s">
        <v>886</v>
      </c>
      <c r="E453" t="str">
        <f>E400</f>
        <v>PJ/yr.</v>
      </c>
      <c r="F453" s="1">
        <f>F454</f>
        <v>3.5927777727263388</v>
      </c>
      <c r="G453" s="1">
        <f t="shared" ref="G453:K453" si="268">G454</f>
        <v>3.2424822207108157</v>
      </c>
      <c r="H453" s="1">
        <f t="shared" si="268"/>
        <v>2.7800237484753647</v>
      </c>
      <c r="I453" s="1">
        <f t="shared" si="268"/>
        <v>2.1511302591977706</v>
      </c>
      <c r="J453" s="1">
        <f t="shared" si="268"/>
        <v>1.287963301348253</v>
      </c>
      <c r="K453" s="1">
        <f t="shared" si="268"/>
        <v>0.77115194366533613</v>
      </c>
    </row>
    <row r="454" spans="1:11" x14ac:dyDescent="0.25">
      <c r="A454" s="5"/>
      <c r="B454" s="5" t="str">
        <f t="shared" si="256"/>
        <v>SPS2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3.5927777727263388</v>
      </c>
      <c r="G454" s="1">
        <f>'[1]Electricity and CHPs_IN'!C$94</f>
        <v>3.2424822207108157</v>
      </c>
      <c r="H454" s="1">
        <f>'[1]Electricity and CHPs_IN'!D$94</f>
        <v>2.7800237484753647</v>
      </c>
      <c r="I454" s="1">
        <f>'[1]Electricity and CHPs_IN'!E$94</f>
        <v>2.1511302591977706</v>
      </c>
      <c r="J454" s="1">
        <f>'[1]Electricity and CHPs_IN'!F$94</f>
        <v>1.287963301348253</v>
      </c>
      <c r="K454" s="1">
        <f>'[1]Electricity and CHPs_IN'!G$94</f>
        <v>0.77115194366533613</v>
      </c>
    </row>
    <row r="455" spans="1:11" x14ac:dyDescent="0.25">
      <c r="A455" s="5"/>
      <c r="B455" s="5" t="str">
        <f t="shared" si="256"/>
        <v>SPS2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69">G456</f>
        <v>0</v>
      </c>
      <c r="H455" s="1">
        <f t="shared" si="269"/>
        <v>0</v>
      </c>
      <c r="I455" s="1">
        <f t="shared" si="269"/>
        <v>2.0002703253408204E-4</v>
      </c>
      <c r="J455" s="1">
        <f t="shared" si="269"/>
        <v>2.0251528751179804E-4</v>
      </c>
      <c r="K455" s="1">
        <f t="shared" si="269"/>
        <v>0.24489838355122867</v>
      </c>
    </row>
    <row r="456" spans="1:11" x14ac:dyDescent="0.25">
      <c r="A456" s="5"/>
      <c r="B456" s="5" t="str">
        <f t="shared" si="256"/>
        <v>SPS2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2.0002703253408204E-4</v>
      </c>
      <c r="J456" s="1">
        <f>'[1]Electricity and CHPs_IN'!F$95</f>
        <v>2.0251528751179804E-4</v>
      </c>
      <c r="K456" s="1">
        <f>'[1]Electricity and CHPs_IN'!G$95</f>
        <v>0.24489838355122867</v>
      </c>
    </row>
    <row r="457" spans="1:11" x14ac:dyDescent="0.25">
      <c r="A457" s="5"/>
      <c r="B457" s="5" t="str">
        <f t="shared" si="256"/>
        <v>SPS2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0">G458</f>
        <v>0</v>
      </c>
      <c r="H457" s="1">
        <f t="shared" si="270"/>
        <v>0</v>
      </c>
      <c r="I457" s="1">
        <f t="shared" si="270"/>
        <v>0</v>
      </c>
      <c r="J457" s="1">
        <f t="shared" si="270"/>
        <v>1.6215029824887648E-4</v>
      </c>
      <c r="K457" s="1">
        <f t="shared" si="270"/>
        <v>1.3470687034987819E-4</v>
      </c>
    </row>
    <row r="458" spans="1:11" x14ac:dyDescent="0.25">
      <c r="A458" s="5"/>
      <c r="B458" s="5" t="str">
        <f t="shared" si="256"/>
        <v>SPS2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1.6215029824887648E-4</v>
      </c>
      <c r="K458" s="1">
        <f>'[1]Electricity and CHPs_IN'!G$96</f>
        <v>1.3470687034987819E-4</v>
      </c>
    </row>
    <row r="459" spans="1:11" x14ac:dyDescent="0.25">
      <c r="A459" s="5"/>
      <c r="B459" s="5" t="str">
        <f t="shared" si="256"/>
        <v>SPS2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1">G460</f>
        <v>1.227704095076791</v>
      </c>
      <c r="H459" s="1">
        <f>H460</f>
        <v>1.2649068807623638</v>
      </c>
      <c r="I459" s="1">
        <f t="shared" ref="I459" si="272">I460</f>
        <v>3.6848364933217566</v>
      </c>
      <c r="J459" s="1">
        <f t="shared" ref="J459" si="273">J460</f>
        <v>5.9681842875304394</v>
      </c>
      <c r="K459" s="1">
        <f t="shared" ref="K459" si="274">K460</f>
        <v>6.5925960362600522</v>
      </c>
    </row>
    <row r="460" spans="1:11" x14ac:dyDescent="0.25">
      <c r="A460" s="5"/>
      <c r="B460" s="5" t="str">
        <f t="shared" si="256"/>
        <v>SPS2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1.227704095076791</v>
      </c>
      <c r="H460" s="1">
        <f>'[1]Electricity and CHPs_IN'!D$97</f>
        <v>1.2649068807623638</v>
      </c>
      <c r="I460" s="1">
        <f>'[1]Electricity and CHPs_IN'!E$97</f>
        <v>3.6848364933217566</v>
      </c>
      <c r="J460" s="1">
        <f>'[1]Electricity and CHPs_IN'!F$97</f>
        <v>5.9681842875304394</v>
      </c>
      <c r="K460" s="1">
        <f>'[1]Electricity and CHPs_IN'!G$97</f>
        <v>6.5925960362600522</v>
      </c>
    </row>
    <row r="461" spans="1:11" x14ac:dyDescent="0.25">
      <c r="A461" s="5"/>
      <c r="B461" s="5" t="str">
        <f t="shared" si="256"/>
        <v>SPS2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8.0883697332865516</v>
      </c>
      <c r="G461" s="1">
        <f t="shared" ref="G461:K461" si="275">SUM(G462,G468,G501,G510,G516)</f>
        <v>8.5247155886920432</v>
      </c>
      <c r="H461" s="1">
        <f t="shared" si="275"/>
        <v>10.037465343480774</v>
      </c>
      <c r="I461" s="1">
        <f t="shared" si="275"/>
        <v>12.144191718484004</v>
      </c>
      <c r="J461" s="1">
        <f t="shared" si="275"/>
        <v>13.761310948058005</v>
      </c>
      <c r="K461" s="1">
        <f t="shared" si="275"/>
        <v>25.800902526950868</v>
      </c>
    </row>
    <row r="462" spans="1:11" x14ac:dyDescent="0.25">
      <c r="A462" s="5"/>
      <c r="B462" s="5" t="str">
        <f t="shared" si="256"/>
        <v>SPS2</v>
      </c>
      <c r="C462" s="5" t="s">
        <v>7</v>
      </c>
      <c r="D462" t="s">
        <v>892</v>
      </c>
      <c r="E462" t="str">
        <f>E397</f>
        <v>PJ/yr.</v>
      </c>
      <c r="F462" s="1">
        <f>+F463</f>
        <v>0.27557451824125567</v>
      </c>
      <c r="G462" s="1">
        <f t="shared" ref="G462:K462" si="276">+G463</f>
        <v>0.64179343791891186</v>
      </c>
      <c r="H462" s="1">
        <f t="shared" si="276"/>
        <v>1.3586161527197046E-2</v>
      </c>
      <c r="I462" s="1">
        <f t="shared" si="276"/>
        <v>0.57031348989182107</v>
      </c>
      <c r="J462" s="1">
        <f t="shared" si="276"/>
        <v>4.8578617683322362E-2</v>
      </c>
      <c r="K462" s="1">
        <f t="shared" si="276"/>
        <v>1.3166214508315759E-3</v>
      </c>
    </row>
    <row r="463" spans="1:11" x14ac:dyDescent="0.25">
      <c r="A463" s="5"/>
      <c r="B463" s="5" t="str">
        <f t="shared" si="256"/>
        <v>SPS2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0.27557451824125567</v>
      </c>
      <c r="G463" s="1">
        <f>'[1]Electricity and CHPs_IN'!C$41-G299</f>
        <v>0.64179343791891186</v>
      </c>
      <c r="H463" s="1">
        <f>'[1]Electricity and CHPs_IN'!D$41-H299</f>
        <v>1.3586161527197046E-2</v>
      </c>
      <c r="I463" s="1">
        <f>'[1]Electricity and CHPs_IN'!E$41-I299</f>
        <v>0.57031348989182107</v>
      </c>
      <c r="J463" s="1">
        <f>'[1]Electricity and CHPs_IN'!F$41-J299</f>
        <v>4.8578617683322362E-2</v>
      </c>
      <c r="K463" s="1">
        <f>'[1]Electricity and CHPs_IN'!G$41-K299</f>
        <v>1.3166214508315759E-3</v>
      </c>
    </row>
    <row r="464" spans="1:11" x14ac:dyDescent="0.25">
      <c r="A464" s="5"/>
      <c r="B464" s="5" t="str">
        <f t="shared" si="256"/>
        <v>SPS2</v>
      </c>
      <c r="C464" s="5" t="s">
        <v>7</v>
      </c>
      <c r="D464" t="s">
        <v>894</v>
      </c>
      <c r="E464" t="str">
        <f>E397</f>
        <v>PJ/yr.</v>
      </c>
      <c r="F464" s="1">
        <f>F465</f>
        <v>0.27557451824125567</v>
      </c>
      <c r="G464" s="1">
        <f t="shared" ref="G464:K464" si="277">G465</f>
        <v>0.64179343791891186</v>
      </c>
      <c r="H464" s="1">
        <f t="shared" si="277"/>
        <v>1.3586161527197046E-2</v>
      </c>
      <c r="I464" s="1">
        <f t="shared" si="277"/>
        <v>0.57031348989182107</v>
      </c>
      <c r="J464" s="1">
        <f t="shared" si="277"/>
        <v>4.8578617683322362E-2</v>
      </c>
      <c r="K464" s="1">
        <f t="shared" si="277"/>
        <v>1.3166214508315759E-3</v>
      </c>
    </row>
    <row r="465" spans="1:11" x14ac:dyDescent="0.25">
      <c r="A465" s="5"/>
      <c r="B465" s="5" t="str">
        <f t="shared" si="256"/>
        <v>SPS2</v>
      </c>
      <c r="C465" s="5" t="s">
        <v>7</v>
      </c>
      <c r="D465" t="s">
        <v>524</v>
      </c>
      <c r="E465" t="str">
        <f>E398</f>
        <v>PJ/yr.</v>
      </c>
      <c r="F465" s="1">
        <f>F463-F467</f>
        <v>0.27557451824125567</v>
      </c>
      <c r="G465" s="1">
        <f t="shared" ref="G465:K465" si="278">G463-G467</f>
        <v>0.64179343791891186</v>
      </c>
      <c r="H465" s="1">
        <f t="shared" si="278"/>
        <v>1.3586161527197046E-2</v>
      </c>
      <c r="I465" s="1">
        <f t="shared" si="278"/>
        <v>0.57031348989182107</v>
      </c>
      <c r="J465" s="1">
        <f t="shared" si="278"/>
        <v>4.8578617683322362E-2</v>
      </c>
      <c r="K465" s="1">
        <f t="shared" si="278"/>
        <v>1.3166214508315759E-3</v>
      </c>
    </row>
    <row r="466" spans="1:11" x14ac:dyDescent="0.25">
      <c r="A466" s="5"/>
      <c r="B466" s="5" t="str">
        <f t="shared" si="256"/>
        <v>SPS2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79">G467</f>
        <v>0</v>
      </c>
      <c r="H466" s="1">
        <f t="shared" si="279"/>
        <v>0</v>
      </c>
      <c r="I466" s="1">
        <f t="shared" si="279"/>
        <v>0</v>
      </c>
      <c r="J466" s="1">
        <f t="shared" si="279"/>
        <v>0</v>
      </c>
      <c r="K466" s="1">
        <f t="shared" si="279"/>
        <v>0</v>
      </c>
    </row>
    <row r="467" spans="1:11" x14ac:dyDescent="0.25">
      <c r="A467" s="5"/>
      <c r="B467" s="5" t="str">
        <f t="shared" si="256"/>
        <v>SPS2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0">IFERROR(G307/G299,0)*G463</f>
        <v>0</v>
      </c>
      <c r="H467" s="1">
        <f t="shared" si="280"/>
        <v>0</v>
      </c>
      <c r="I467" s="1">
        <f t="shared" si="280"/>
        <v>0</v>
      </c>
      <c r="J467" s="1">
        <f t="shared" si="280"/>
        <v>0</v>
      </c>
      <c r="K467" s="1">
        <f t="shared" si="280"/>
        <v>0</v>
      </c>
    </row>
    <row r="468" spans="1:11" x14ac:dyDescent="0.25">
      <c r="A468" s="5"/>
      <c r="B468" s="5" t="str">
        <f t="shared" si="256"/>
        <v>SPS2</v>
      </c>
      <c r="C468" s="5" t="s">
        <v>7</v>
      </c>
      <c r="D468" t="s">
        <v>893</v>
      </c>
      <c r="E468" t="str">
        <f>E399</f>
        <v>PJ/yr.</v>
      </c>
      <c r="F468" s="1">
        <f>SUM(F469:F478)</f>
        <v>3.8035976392152402</v>
      </c>
      <c r="G468" s="1">
        <f t="shared" ref="G468:K468" si="281">SUM(G469:G478)</f>
        <v>3.0717826546399176</v>
      </c>
      <c r="H468" s="1">
        <f t="shared" si="281"/>
        <v>1.8586779703486767</v>
      </c>
      <c r="I468" s="1">
        <f t="shared" si="281"/>
        <v>2.6746462187985158</v>
      </c>
      <c r="J468" s="1">
        <f t="shared" si="281"/>
        <v>4.4436878682041945</v>
      </c>
      <c r="K468" s="1">
        <f t="shared" si="281"/>
        <v>4.133973966896586</v>
      </c>
    </row>
    <row r="469" spans="1:11" x14ac:dyDescent="0.25">
      <c r="A469" s="5"/>
      <c r="B469" s="5" t="str">
        <f t="shared" si="256"/>
        <v>SPS2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1.0290373689662831</v>
      </c>
      <c r="G469" s="1">
        <f>'[1]Electricity and CHPs_IN'!C$39-G314</f>
        <v>0.32078745429091804</v>
      </c>
      <c r="H469" s="1">
        <f>'[1]Electricity and CHPs_IN'!D$39-H314</f>
        <v>7.6437594335755352E-2</v>
      </c>
      <c r="I469" s="1">
        <f>'[1]Electricity and CHPs_IN'!E$39-I314</f>
        <v>0.57969845225081129</v>
      </c>
      <c r="J469" s="1">
        <f>'[1]Electricity and CHPs_IN'!F$39-J314</f>
        <v>2.5339456444101005</v>
      </c>
      <c r="K469" s="1">
        <f>'[1]Electricity and CHPs_IN'!G$39-K314</f>
        <v>1.9857098173392398</v>
      </c>
    </row>
    <row r="470" spans="1:11" x14ac:dyDescent="0.25">
      <c r="A470" s="5"/>
      <c r="B470" s="5" t="str">
        <f t="shared" si="256"/>
        <v>SPS2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2.8846323491202837E-3</v>
      </c>
      <c r="K470" s="6">
        <f>'[1]Electricity and CHPs_IN'!G$40-K315</f>
        <v>0.77687018839433675</v>
      </c>
    </row>
    <row r="471" spans="1:11" x14ac:dyDescent="0.25">
      <c r="A471" s="5"/>
      <c r="B471" s="5" t="str">
        <f t="shared" si="256"/>
        <v>SPS2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tr">
        <f t="shared" si="256"/>
        <v>SPS2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0.13642663964448307</v>
      </c>
      <c r="G472" s="1">
        <f>'[1]Electricity and CHPs_IN'!C$48-G317</f>
        <v>6.2735108414601268E-3</v>
      </c>
      <c r="H472" s="1">
        <f>'[1]Electricity and CHPs_IN'!D$48-H317</f>
        <v>1.4805939267848374E-2</v>
      </c>
      <c r="I472" s="1">
        <f>'[1]Electricity and CHPs_IN'!E$48-I317</f>
        <v>0.13207909725738254</v>
      </c>
      <c r="J472" s="1">
        <f>'[1]Electricity and CHPs_IN'!F$48-J317</f>
        <v>8.703604487044176E-3</v>
      </c>
      <c r="K472" s="1">
        <f>'[1]Electricity and CHPs_IN'!G$48-K317</f>
        <v>1.4508940003174814E-3</v>
      </c>
    </row>
    <row r="473" spans="1:11" x14ac:dyDescent="0.25">
      <c r="A473" s="5"/>
      <c r="B473" s="5" t="str">
        <f t="shared" si="256"/>
        <v>SPS2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tr">
        <f t="shared" si="256"/>
        <v>SPS2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0.16061509768933885</v>
      </c>
      <c r="G474" s="1">
        <f>'[1]Electricity and CHPs_IN'!C$51-G319</f>
        <v>5.2658861433750072E-3</v>
      </c>
      <c r="H474" s="1">
        <f>'[1]Electricity and CHPs_IN'!D$51-H319</f>
        <v>1.7520685816245402E-2</v>
      </c>
      <c r="I474" s="1">
        <f>'[1]Electricity and CHPs_IN'!E$51-I319</f>
        <v>0.13244201202646785</v>
      </c>
      <c r="J474" s="1">
        <f>'[1]Electricity and CHPs_IN'!F$51-J319</f>
        <v>0.48982374504616999</v>
      </c>
      <c r="K474" s="1">
        <f>'[1]Electricity and CHPs_IN'!G$51-K319</f>
        <v>1.6846083183533467E-3</v>
      </c>
    </row>
    <row r="475" spans="1:11" x14ac:dyDescent="0.25">
      <c r="A475" s="5"/>
      <c r="B475" s="5" t="str">
        <f t="shared" si="256"/>
        <v>SPS2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tr">
        <f t="shared" si="256"/>
        <v>SPS2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1.5806949141267337</v>
      </c>
      <c r="G476" s="1">
        <f>'[1]Electricity and CHPs_IN'!C$54-G321</f>
        <v>1.7914488417272676</v>
      </c>
      <c r="H476" s="1">
        <f>'[1]Electricity and CHPs_IN'!D$54-H321</f>
        <v>1.7430978033527209</v>
      </c>
      <c r="I476" s="1">
        <f>'[1]Electricity and CHPs_IN'!E$54-I321</f>
        <v>1.6523169398019155</v>
      </c>
      <c r="J476" s="1">
        <f>'[1]Electricity and CHPs_IN'!F$54-J321</f>
        <v>1.4051874411247742</v>
      </c>
      <c r="K476" s="1">
        <f>'[1]Electricity and CHPs_IN'!G$54-K321</f>
        <v>1.3677541740887524</v>
      </c>
    </row>
    <row r="477" spans="1:11" x14ac:dyDescent="0.25">
      <c r="A477" s="5"/>
      <c r="B477" s="5" t="str">
        <f t="shared" si="256"/>
        <v>SPS2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0.89682361878840178</v>
      </c>
      <c r="G477" s="1">
        <f>'[1]Electricity and CHPs_IN'!C$55-G322</f>
        <v>0.94800696163689679</v>
      </c>
      <c r="H477" s="1">
        <f>'[1]Electricity and CHPs_IN'!D$55-H322</f>
        <v>6.8159475761066565E-3</v>
      </c>
      <c r="I477" s="1">
        <f>'[1]Electricity and CHPs_IN'!E$55-I322</f>
        <v>0.1780161301946219</v>
      </c>
      <c r="J477" s="1">
        <f>'[1]Electricity and CHPs_IN'!F$55-J322</f>
        <v>2.3849323178174193E-3</v>
      </c>
      <c r="K477" s="1">
        <f>'[1]Electricity and CHPs_IN'!G$55-K322</f>
        <v>3.7045083419837935E-4</v>
      </c>
    </row>
    <row r="478" spans="1:11" x14ac:dyDescent="0.25">
      <c r="A478" s="5"/>
      <c r="B478" s="5" t="str">
        <f t="shared" si="256"/>
        <v>SPS2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9.3587267316889392E-5</v>
      </c>
      <c r="J478" s="1">
        <f>'[1]Electricity and CHPs_IN'!F$58-J323</f>
        <v>7.5786846916806733E-4</v>
      </c>
      <c r="K478" s="1">
        <f>'[1]Electricity and CHPs_IN'!G$58-K323</f>
        <v>1.3383392138787992E-4</v>
      </c>
    </row>
    <row r="479" spans="1:11" x14ac:dyDescent="0.25">
      <c r="A479" s="5"/>
      <c r="B479" s="5" t="str">
        <f t="shared" si="256"/>
        <v>SPS2</v>
      </c>
      <c r="C479" s="5" t="s">
        <v>7</v>
      </c>
      <c r="D479" t="s">
        <v>896</v>
      </c>
      <c r="E479" t="str">
        <f>E400</f>
        <v>PJ/yr.</v>
      </c>
      <c r="F479" s="1">
        <f>SUM(F480:F489)</f>
        <v>2.1659134032397946</v>
      </c>
      <c r="G479" s="1">
        <f t="shared" ref="G479:K479" si="282">SUM(G480:G489)</f>
        <v>1.2397774434478861</v>
      </c>
      <c r="H479" s="1">
        <f t="shared" si="282"/>
        <v>0.11541170899894002</v>
      </c>
      <c r="I479" s="1">
        <f t="shared" si="282"/>
        <v>0.9840533579161177</v>
      </c>
      <c r="J479" s="1">
        <f t="shared" si="282"/>
        <v>2.4339336939588847</v>
      </c>
      <c r="K479" s="1">
        <f t="shared" si="282"/>
        <v>0.89350453687241416</v>
      </c>
    </row>
    <row r="480" spans="1:11" x14ac:dyDescent="0.25">
      <c r="A480" s="5"/>
      <c r="B480" s="5" t="str">
        <f t="shared" si="256"/>
        <v>SPS2</v>
      </c>
      <c r="C480" s="5" t="s">
        <v>7</v>
      </c>
      <c r="D480" t="s">
        <v>597</v>
      </c>
      <c r="E480" t="str">
        <f>E400</f>
        <v>PJ/yr.</v>
      </c>
      <c r="F480" s="1">
        <f t="shared" ref="F480:F486" si="283">F469-F491</f>
        <v>1.0026555839459617</v>
      </c>
      <c r="G480" s="1">
        <f t="shared" ref="G480:K480" si="284">G469-G491</f>
        <v>0.31062606170355295</v>
      </c>
      <c r="H480" s="1">
        <f t="shared" si="284"/>
        <v>7.6326186605751328E-2</v>
      </c>
      <c r="I480" s="1">
        <f t="shared" si="284"/>
        <v>0.55799459160171816</v>
      </c>
      <c r="J480" s="1">
        <f t="shared" si="284"/>
        <v>2.02976956252009</v>
      </c>
      <c r="K480" s="1">
        <f t="shared" si="284"/>
        <v>0.64139542899581814</v>
      </c>
    </row>
    <row r="481" spans="1:18" x14ac:dyDescent="0.25">
      <c r="A481" s="5"/>
      <c r="B481" s="5" t="str">
        <f t="shared" si="256"/>
        <v>SPS2</v>
      </c>
      <c r="C481" s="5" t="s">
        <v>7</v>
      </c>
      <c r="D481" t="s">
        <v>598</v>
      </c>
      <c r="E481" t="str">
        <f>E401</f>
        <v>PJ/yr.</v>
      </c>
      <c r="F481" s="1">
        <f t="shared" si="283"/>
        <v>0</v>
      </c>
      <c r="G481" s="1">
        <f t="shared" ref="G481:K481" si="285">G470-G492</f>
        <v>0</v>
      </c>
      <c r="H481" s="1">
        <f t="shared" si="285"/>
        <v>0</v>
      </c>
      <c r="I481" s="1">
        <f t="shared" si="285"/>
        <v>0</v>
      </c>
      <c r="J481" s="1">
        <f t="shared" si="285"/>
        <v>2.3106805602644441E-3</v>
      </c>
      <c r="K481" s="1">
        <f t="shared" si="285"/>
        <v>0.25093343619911268</v>
      </c>
    </row>
    <row r="482" spans="1:18" x14ac:dyDescent="0.25">
      <c r="A482" s="5"/>
      <c r="B482" s="5" t="str">
        <f t="shared" si="256"/>
        <v>SPS2</v>
      </c>
      <c r="C482" s="5" t="s">
        <v>7</v>
      </c>
      <c r="D482" t="s">
        <v>599</v>
      </c>
      <c r="E482" t="str">
        <f>E402</f>
        <v>PJ/yr.</v>
      </c>
      <c r="F482" s="1">
        <f t="shared" si="283"/>
        <v>0</v>
      </c>
      <c r="G482" s="1">
        <f t="shared" ref="G482:K482" si="286">G471-G493</f>
        <v>0</v>
      </c>
      <c r="H482" s="1">
        <f t="shared" si="286"/>
        <v>0</v>
      </c>
      <c r="I482" s="1">
        <f t="shared" si="286"/>
        <v>0</v>
      </c>
      <c r="J482" s="1">
        <f t="shared" si="286"/>
        <v>0</v>
      </c>
      <c r="K482" s="1">
        <f t="shared" si="286"/>
        <v>0</v>
      </c>
    </row>
    <row r="483" spans="1:18" x14ac:dyDescent="0.25">
      <c r="A483" s="5"/>
      <c r="B483" s="5" t="str">
        <f t="shared" si="256"/>
        <v>SPS2</v>
      </c>
      <c r="C483" s="5" t="s">
        <v>7</v>
      </c>
      <c r="D483" t="s">
        <v>600</v>
      </c>
      <c r="E483" t="str">
        <f>E427</f>
        <v>PJ/yr.</v>
      </c>
      <c r="F483" s="1">
        <f t="shared" si="283"/>
        <v>0.13292902295271886</v>
      </c>
      <c r="G483" s="1">
        <f t="shared" ref="G483:K483" si="287">G472-G494</f>
        <v>6.0747885856222913E-3</v>
      </c>
      <c r="H483" s="1">
        <f t="shared" si="287"/>
        <v>1.4784359623711971E-2</v>
      </c>
      <c r="I483" s="1">
        <f t="shared" si="287"/>
        <v>0.12713406711213732</v>
      </c>
      <c r="J483" s="1">
        <f t="shared" si="287"/>
        <v>6.9718588916804682E-3</v>
      </c>
      <c r="K483" s="1">
        <f t="shared" si="287"/>
        <v>4.6864691488912873E-4</v>
      </c>
    </row>
    <row r="484" spans="1:18" x14ac:dyDescent="0.25">
      <c r="A484" s="5"/>
      <c r="B484" s="5" t="str">
        <f t="shared" si="256"/>
        <v>SPS2</v>
      </c>
      <c r="C484" s="5" t="s">
        <v>7</v>
      </c>
      <c r="D484" t="s">
        <v>601</v>
      </c>
      <c r="E484" t="str">
        <f>E429</f>
        <v>PJ/yr.</v>
      </c>
      <c r="F484" s="1">
        <f t="shared" si="283"/>
        <v>0</v>
      </c>
      <c r="G484" s="1">
        <f t="shared" ref="G484:K484" si="288">G473-G495</f>
        <v>0</v>
      </c>
      <c r="H484" s="1">
        <f t="shared" si="288"/>
        <v>0</v>
      </c>
      <c r="I484" s="1">
        <f t="shared" si="288"/>
        <v>0</v>
      </c>
      <c r="J484" s="1">
        <f t="shared" si="288"/>
        <v>0</v>
      </c>
      <c r="K484" s="1">
        <f t="shared" si="288"/>
        <v>0</v>
      </c>
    </row>
    <row r="485" spans="1:18" x14ac:dyDescent="0.25">
      <c r="A485" s="5"/>
      <c r="B485" s="5" t="str">
        <f t="shared" si="256"/>
        <v>SPS2</v>
      </c>
      <c r="C485" s="5" t="s">
        <v>7</v>
      </c>
      <c r="D485" t="s">
        <v>602</v>
      </c>
      <c r="E485" t="str">
        <f>E431</f>
        <v>PJ/yr.</v>
      </c>
      <c r="F485" s="1">
        <f t="shared" si="283"/>
        <v>0.15649735317777205</v>
      </c>
      <c r="G485" s="1">
        <f t="shared" ref="G485:K485" si="289">G474-G496</f>
        <v>5.0990818132571804E-3</v>
      </c>
      <c r="H485" s="1">
        <f t="shared" si="289"/>
        <v>1.7495149431278504E-2</v>
      </c>
      <c r="I485" s="1">
        <f t="shared" si="289"/>
        <v>0.1274833943831965</v>
      </c>
      <c r="J485" s="1">
        <f t="shared" si="289"/>
        <v>0.39236411044869596</v>
      </c>
      <c r="K485" s="1">
        <f t="shared" si="289"/>
        <v>5.4413795288980795E-4</v>
      </c>
    </row>
    <row r="486" spans="1:18" x14ac:dyDescent="0.25">
      <c r="A486" s="5"/>
      <c r="B486" s="5" t="str">
        <f t="shared" si="256"/>
        <v>SPS2</v>
      </c>
      <c r="C486" s="5" t="s">
        <v>7</v>
      </c>
      <c r="D486" t="s">
        <v>603</v>
      </c>
      <c r="E486" t="str">
        <f>E432</f>
        <v>PJ/yr.</v>
      </c>
      <c r="F486" s="1">
        <f t="shared" si="283"/>
        <v>0</v>
      </c>
      <c r="G486" s="1">
        <f t="shared" ref="G486:K486" si="290">G475-G497</f>
        <v>0</v>
      </c>
      <c r="H486" s="1">
        <f t="shared" si="290"/>
        <v>0</v>
      </c>
      <c r="I486" s="1">
        <f t="shared" si="290"/>
        <v>0</v>
      </c>
      <c r="J486" s="1">
        <f t="shared" si="290"/>
        <v>0</v>
      </c>
      <c r="K486" s="1">
        <f t="shared" si="290"/>
        <v>0</v>
      </c>
    </row>
    <row r="487" spans="1:18" x14ac:dyDescent="0.25">
      <c r="A487" s="5"/>
      <c r="B487" s="5" t="str">
        <f t="shared" si="256"/>
        <v>SPS2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tr">
        <f t="shared" si="256"/>
        <v>SPS2</v>
      </c>
      <c r="C488" s="5" t="s">
        <v>7</v>
      </c>
      <c r="D488" t="s">
        <v>605</v>
      </c>
      <c r="E488" t="str">
        <f>E471</f>
        <v>PJ/yr.</v>
      </c>
      <c r="F488" s="1">
        <f>F477-F499</f>
        <v>0.87383144316334194</v>
      </c>
      <c r="G488" s="1">
        <f t="shared" ref="G488:K488" si="291">G477-G499</f>
        <v>0.91797751134545369</v>
      </c>
      <c r="H488" s="1">
        <f t="shared" si="291"/>
        <v>6.806013338198213E-3</v>
      </c>
      <c r="I488" s="1">
        <f t="shared" si="291"/>
        <v>0.17135122145106144</v>
      </c>
      <c r="J488" s="1">
        <f t="shared" si="291"/>
        <v>1.910405236219357E-3</v>
      </c>
      <c r="K488" s="1">
        <f t="shared" si="291"/>
        <v>1.1965770106374792E-4</v>
      </c>
    </row>
    <row r="489" spans="1:18" x14ac:dyDescent="0.25">
      <c r="A489" s="5"/>
      <c r="B489" s="5" t="str">
        <f t="shared" si="256"/>
        <v>SPS2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2">G478-G500</f>
        <v>0</v>
      </c>
      <c r="H489" s="1">
        <f t="shared" si="292"/>
        <v>0</v>
      </c>
      <c r="I489" s="1">
        <f t="shared" si="292"/>
        <v>9.0083368004257829E-5</v>
      </c>
      <c r="J489" s="1">
        <f t="shared" si="292"/>
        <v>6.0707630193431112E-4</v>
      </c>
      <c r="K489" s="1">
        <f t="shared" si="292"/>
        <v>4.3229108640755045E-5</v>
      </c>
    </row>
    <row r="490" spans="1:18" x14ac:dyDescent="0.25">
      <c r="A490" s="5"/>
      <c r="B490" s="5" t="str">
        <f t="shared" si="256"/>
        <v>SPS2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1.6376842359754458</v>
      </c>
      <c r="G490" s="1">
        <f t="shared" ref="G490:K490" si="293">SUM(G491:G500)</f>
        <v>1.8320052111920315</v>
      </c>
      <c r="H490" s="1">
        <f t="shared" si="293"/>
        <v>1.7432662613497367</v>
      </c>
      <c r="I490" s="1">
        <f t="shared" si="293"/>
        <v>1.6905928608823984</v>
      </c>
      <c r="J490" s="1">
        <f t="shared" si="293"/>
        <v>2.0097541742453102</v>
      </c>
      <c r="K490" s="1">
        <f t="shared" si="293"/>
        <v>3.2404694300241719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tr">
        <f t="shared" si="256"/>
        <v>SPS2</v>
      </c>
      <c r="C491" s="5" t="s">
        <v>7</v>
      </c>
      <c r="D491" t="s">
        <v>658</v>
      </c>
      <c r="E491" t="str">
        <f>E403</f>
        <v>PJ/yr.</v>
      </c>
      <c r="F491" s="1">
        <f t="shared" ref="F491:F497" si="294">IFERROR(F346/F314,0)*F469</f>
        <v>2.6381785020321361E-2</v>
      </c>
      <c r="G491" s="1">
        <f t="shared" ref="G491:K491" si="295">IFERROR(G346/G314,0)*G469</f>
        <v>1.0161392587365099E-2</v>
      </c>
      <c r="H491" s="1">
        <f t="shared" si="295"/>
        <v>1.1140773000402375E-4</v>
      </c>
      <c r="I491" s="1">
        <f t="shared" si="295"/>
        <v>2.170386064909318E-2</v>
      </c>
      <c r="J491" s="1">
        <f t="shared" si="295"/>
        <v>0.5041760818900104</v>
      </c>
      <c r="K491" s="1">
        <f t="shared" si="295"/>
        <v>1.3443143883434217</v>
      </c>
    </row>
    <row r="492" spans="1:18" x14ac:dyDescent="0.25">
      <c r="A492" s="5"/>
      <c r="B492" s="5" t="str">
        <f t="shared" si="256"/>
        <v>SPS2</v>
      </c>
      <c r="C492" s="5" t="s">
        <v>7</v>
      </c>
      <c r="D492" t="s">
        <v>659</v>
      </c>
      <c r="E492" t="str">
        <f>E404</f>
        <v>PJ/yr.</v>
      </c>
      <c r="F492" s="1">
        <f t="shared" si="294"/>
        <v>0</v>
      </c>
      <c r="G492" s="1">
        <f t="shared" ref="G492:K492" si="296">IFERROR(G347/G315,0)*G470</f>
        <v>0</v>
      </c>
      <c r="H492" s="1">
        <f t="shared" si="296"/>
        <v>0</v>
      </c>
      <c r="I492" s="1">
        <f t="shared" si="296"/>
        <v>0</v>
      </c>
      <c r="J492" s="1">
        <f t="shared" si="296"/>
        <v>5.7395178885583965E-4</v>
      </c>
      <c r="K492" s="1">
        <f t="shared" si="296"/>
        <v>0.52593675219522407</v>
      </c>
    </row>
    <row r="493" spans="1:18" x14ac:dyDescent="0.25">
      <c r="A493" s="5"/>
      <c r="B493" s="5" t="str">
        <f t="shared" si="256"/>
        <v>SPS2</v>
      </c>
      <c r="C493" s="5" t="s">
        <v>7</v>
      </c>
      <c r="D493" t="s">
        <v>660</v>
      </c>
      <c r="E493" t="str">
        <f>E405</f>
        <v>PJ/yr.</v>
      </c>
      <c r="F493" s="1">
        <f t="shared" si="294"/>
        <v>0</v>
      </c>
      <c r="G493" s="1">
        <f t="shared" ref="G493:K493" si="297">IFERROR(G348/G316,0)*G471</f>
        <v>0</v>
      </c>
      <c r="H493" s="1">
        <f t="shared" si="297"/>
        <v>0</v>
      </c>
      <c r="I493" s="1">
        <f t="shared" si="297"/>
        <v>0</v>
      </c>
      <c r="J493" s="1">
        <f t="shared" si="297"/>
        <v>0</v>
      </c>
      <c r="K493" s="1">
        <f t="shared" si="297"/>
        <v>0</v>
      </c>
    </row>
    <row r="494" spans="1:18" x14ac:dyDescent="0.25">
      <c r="A494" s="5"/>
      <c r="B494" s="5" t="str">
        <f t="shared" si="256"/>
        <v>SPS2</v>
      </c>
      <c r="C494" s="5" t="s">
        <v>7</v>
      </c>
      <c r="D494" t="s">
        <v>661</v>
      </c>
      <c r="E494" t="str">
        <f>E433</f>
        <v>PJ/yr.</v>
      </c>
      <c r="F494" s="1">
        <f t="shared" si="294"/>
        <v>3.4976166917642117E-3</v>
      </c>
      <c r="G494" s="1">
        <f t="shared" ref="G494:K494" si="298">IFERROR(G349/G317,0)*G472</f>
        <v>1.9872225583783521E-4</v>
      </c>
      <c r="H494" s="1">
        <f t="shared" si="298"/>
        <v>2.1579644136403129E-5</v>
      </c>
      <c r="I494" s="1">
        <f t="shared" si="298"/>
        <v>4.9450301452452225E-3</v>
      </c>
      <c r="J494" s="1">
        <f t="shared" si="298"/>
        <v>1.7317455953637082E-3</v>
      </c>
      <c r="K494" s="1">
        <f t="shared" si="298"/>
        <v>9.8224708542835265E-4</v>
      </c>
    </row>
    <row r="495" spans="1:18" x14ac:dyDescent="0.25">
      <c r="A495" s="5"/>
      <c r="B495" s="5" t="str">
        <f t="shared" si="256"/>
        <v>SPS2</v>
      </c>
      <c r="C495" s="5" t="s">
        <v>7</v>
      </c>
      <c r="D495" t="s">
        <v>662</v>
      </c>
      <c r="E495" t="str">
        <f>E435</f>
        <v>PJ/yr.</v>
      </c>
      <c r="F495" s="1">
        <f t="shared" si="294"/>
        <v>0</v>
      </c>
      <c r="G495" s="1">
        <f t="shared" ref="G495:K495" si="299">IFERROR(G350/G318,0)*G473</f>
        <v>0</v>
      </c>
      <c r="H495" s="1">
        <f t="shared" si="299"/>
        <v>0</v>
      </c>
      <c r="I495" s="1">
        <f t="shared" si="299"/>
        <v>0</v>
      </c>
      <c r="J495" s="1">
        <f t="shared" si="299"/>
        <v>0</v>
      </c>
      <c r="K495" s="1">
        <f t="shared" si="299"/>
        <v>0</v>
      </c>
    </row>
    <row r="496" spans="1:18" x14ac:dyDescent="0.25">
      <c r="A496" s="5"/>
      <c r="B496" s="5" t="str">
        <f t="shared" si="256"/>
        <v>SPS2</v>
      </c>
      <c r="C496" s="5" t="s">
        <v>7</v>
      </c>
      <c r="D496" t="s">
        <v>663</v>
      </c>
      <c r="E496" t="str">
        <f>E437</f>
        <v>PJ/yr.</v>
      </c>
      <c r="F496" s="1">
        <f t="shared" si="294"/>
        <v>4.1177445115667902E-3</v>
      </c>
      <c r="G496" s="1">
        <f t="shared" ref="G496:K496" si="300">IFERROR(G351/G319,0)*G474</f>
        <v>1.6680433011782644E-4</v>
      </c>
      <c r="H496" s="1">
        <f t="shared" si="300"/>
        <v>2.5536384966897584E-5</v>
      </c>
      <c r="I496" s="1">
        <f t="shared" si="300"/>
        <v>4.9586176432713635E-3</v>
      </c>
      <c r="J496" s="1">
        <f t="shared" si="300"/>
        <v>9.7459634597474032E-2</v>
      </c>
      <c r="K496" s="1">
        <f t="shared" si="300"/>
        <v>1.1404703654635388E-3</v>
      </c>
    </row>
    <row r="497" spans="1:11" x14ac:dyDescent="0.25">
      <c r="A497" s="5"/>
      <c r="B497" s="5" t="str">
        <f t="shared" si="256"/>
        <v>SPS2</v>
      </c>
      <c r="C497" s="5" t="s">
        <v>7</v>
      </c>
      <c r="D497" t="s">
        <v>664</v>
      </c>
      <c r="E497" t="str">
        <f>E438</f>
        <v>PJ/yr.</v>
      </c>
      <c r="F497" s="1">
        <f t="shared" si="294"/>
        <v>0</v>
      </c>
      <c r="G497" s="1">
        <f t="shared" ref="G497:K497" si="301">IFERROR(G352/G320,0)*G475</f>
        <v>0</v>
      </c>
      <c r="H497" s="1">
        <f t="shared" si="301"/>
        <v>0</v>
      </c>
      <c r="I497" s="1">
        <f t="shared" si="301"/>
        <v>0</v>
      </c>
      <c r="J497" s="1">
        <f t="shared" si="301"/>
        <v>0</v>
      </c>
      <c r="K497" s="1">
        <f t="shared" si="301"/>
        <v>0</v>
      </c>
    </row>
    <row r="498" spans="1:11" x14ac:dyDescent="0.25">
      <c r="A498" s="5"/>
      <c r="B498" s="5" t="str">
        <f t="shared" si="256"/>
        <v>SPS2</v>
      </c>
      <c r="C498" s="5" t="s">
        <v>7</v>
      </c>
      <c r="D498" t="s">
        <v>665</v>
      </c>
      <c r="E498" t="str">
        <f>E461</f>
        <v>PJ/yr.</v>
      </c>
      <c r="F498" s="1">
        <f>F476</f>
        <v>1.5806949141267337</v>
      </c>
      <c r="G498" s="1">
        <f t="shared" ref="G498:K498" si="302">G476</f>
        <v>1.7914488417272676</v>
      </c>
      <c r="H498" s="1">
        <f t="shared" si="302"/>
        <v>1.7430978033527209</v>
      </c>
      <c r="I498" s="1">
        <f t="shared" si="302"/>
        <v>1.6523169398019155</v>
      </c>
      <c r="J498" s="1">
        <f t="shared" si="302"/>
        <v>1.4051874411247742</v>
      </c>
      <c r="K498" s="1">
        <f t="shared" si="302"/>
        <v>1.3677541740887524</v>
      </c>
    </row>
    <row r="499" spans="1:11" x14ac:dyDescent="0.25">
      <c r="A499" s="5"/>
      <c r="B499" s="5" t="str">
        <f t="shared" si="256"/>
        <v>SPS2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2.2992175625059813E-2</v>
      </c>
      <c r="G499" s="1">
        <f t="shared" ref="G499:K499" si="303">IFERROR(G354/G322,0)*G477</f>
        <v>3.0029450291443067E-2</v>
      </c>
      <c r="H499" s="1">
        <f t="shared" si="303"/>
        <v>9.9342379084430986E-6</v>
      </c>
      <c r="I499" s="1">
        <f t="shared" si="303"/>
        <v>6.6649087435604716E-3</v>
      </c>
      <c r="J499" s="1">
        <f t="shared" si="303"/>
        <v>4.7452708159806227E-4</v>
      </c>
      <c r="K499" s="1">
        <f t="shared" si="303"/>
        <v>2.5079313313463143E-4</v>
      </c>
    </row>
    <row r="500" spans="1:11" x14ac:dyDescent="0.25">
      <c r="A500" s="5"/>
      <c r="B500" s="5" t="str">
        <f t="shared" ref="B500:B563" si="304">B499</f>
        <v>SPS2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5">IFERROR(G355/G323,0)*G478</f>
        <v>0</v>
      </c>
      <c r="H500" s="1">
        <f t="shared" si="305"/>
        <v>0</v>
      </c>
      <c r="I500" s="1">
        <f t="shared" si="305"/>
        <v>3.5038993126315622E-6</v>
      </c>
      <c r="J500" s="1">
        <f t="shared" si="305"/>
        <v>1.5079216723375626E-4</v>
      </c>
      <c r="K500" s="1">
        <f t="shared" si="305"/>
        <v>9.0604812747124879E-5</v>
      </c>
    </row>
    <row r="501" spans="1:11" x14ac:dyDescent="0.25">
      <c r="A501" s="5"/>
      <c r="B501" s="5" t="str">
        <f t="shared" si="304"/>
        <v>SPS2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3.3175182094228726</v>
      </c>
      <c r="G501" s="1">
        <f t="shared" ref="G501:K501" si="306">SUM(G502:G503)</f>
        <v>3.4442414049891545</v>
      </c>
      <c r="H501" s="1">
        <f t="shared" si="306"/>
        <v>4.7994827512167468</v>
      </c>
      <c r="I501" s="1">
        <f t="shared" si="306"/>
        <v>5.0116676994224187</v>
      </c>
      <c r="J501" s="1">
        <f t="shared" si="306"/>
        <v>4.9294788321609282</v>
      </c>
      <c r="K501" s="1">
        <f t="shared" si="306"/>
        <v>11.711413020418945</v>
      </c>
    </row>
    <row r="502" spans="1:11" x14ac:dyDescent="0.25">
      <c r="A502" s="5"/>
      <c r="B502" s="5" t="str">
        <f t="shared" si="304"/>
        <v>SPS2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3.3175182094228726</v>
      </c>
      <c r="G502" s="6">
        <f>'[1]Electricity and CHPs_IN'!C$44-G361</f>
        <v>3.4442414049891545</v>
      </c>
      <c r="H502" s="6">
        <f>'[1]Electricity and CHPs_IN'!D$44-H361</f>
        <v>4.7994827512167468</v>
      </c>
      <c r="I502" s="6">
        <f>'[1]Electricity and CHPs_IN'!E$44-I361</f>
        <v>5.0116676994224187</v>
      </c>
      <c r="J502" s="6">
        <f>'[1]Electricity and CHPs_IN'!F$44-J361</f>
        <v>1.8210658268415578</v>
      </c>
      <c r="K502" s="6">
        <f>'[1]Electricity and CHPs_IN'!G$44-K361</f>
        <v>5.6135235206258036E-4</v>
      </c>
    </row>
    <row r="503" spans="1:11" x14ac:dyDescent="0.25">
      <c r="A503" s="5"/>
      <c r="B503" s="5" t="str">
        <f t="shared" si="304"/>
        <v>SPS2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3.1084130053193699</v>
      </c>
      <c r="K503" s="1">
        <f>'[1]Electricity and CHPs_IN'!G$45</f>
        <v>11.710851668066882</v>
      </c>
    </row>
    <row r="504" spans="1:11" x14ac:dyDescent="0.25">
      <c r="A504" s="5"/>
      <c r="B504" s="5" t="str">
        <f t="shared" si="304"/>
        <v>SPS2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07">SUM(G505:G506)</f>
        <v>0</v>
      </c>
      <c r="H504" s="1">
        <f t="shared" si="307"/>
        <v>0</v>
      </c>
      <c r="I504" s="1">
        <f t="shared" si="307"/>
        <v>0</v>
      </c>
      <c r="J504" s="1">
        <f t="shared" si="307"/>
        <v>0</v>
      </c>
      <c r="K504" s="1">
        <f t="shared" si="307"/>
        <v>0</v>
      </c>
    </row>
    <row r="505" spans="1:11" x14ac:dyDescent="0.25">
      <c r="A505" s="5"/>
      <c r="B505" s="5" t="str">
        <f t="shared" si="304"/>
        <v>SPS2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tr">
        <f t="shared" si="304"/>
        <v>SPS2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tr">
        <f t="shared" si="304"/>
        <v>SPS2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3.3175182094228726</v>
      </c>
      <c r="G507" s="1">
        <f t="shared" ref="G507:K507" si="308">SUM(G508:G509)</f>
        <v>3.4442414049891545</v>
      </c>
      <c r="H507" s="1">
        <f t="shared" si="308"/>
        <v>4.7994827512167468</v>
      </c>
      <c r="I507" s="1">
        <f t="shared" si="308"/>
        <v>5.0116676994224187</v>
      </c>
      <c r="J507" s="1">
        <f t="shared" si="308"/>
        <v>4.9294788321609282</v>
      </c>
      <c r="K507" s="1">
        <f t="shared" si="308"/>
        <v>11.711413020418945</v>
      </c>
    </row>
    <row r="508" spans="1:11" x14ac:dyDescent="0.25">
      <c r="A508" s="5"/>
      <c r="B508" s="5" t="str">
        <f t="shared" si="304"/>
        <v>SPS2</v>
      </c>
      <c r="C508" s="5" t="s">
        <v>7</v>
      </c>
      <c r="D508" t="s">
        <v>221</v>
      </c>
      <c r="E508" t="str">
        <f>E411</f>
        <v>PJ/yr.</v>
      </c>
      <c r="F508" s="1">
        <f>F502</f>
        <v>3.3175182094228726</v>
      </c>
      <c r="G508" s="1">
        <f t="shared" ref="G508:K508" si="309">G502</f>
        <v>3.4442414049891545</v>
      </c>
      <c r="H508" s="1">
        <f t="shared" si="309"/>
        <v>4.7994827512167468</v>
      </c>
      <c r="I508" s="1">
        <f t="shared" si="309"/>
        <v>5.0116676994224187</v>
      </c>
      <c r="J508" s="1">
        <f t="shared" si="309"/>
        <v>1.8210658268415578</v>
      </c>
      <c r="K508" s="1">
        <f t="shared" si="309"/>
        <v>5.6135235206258036E-4</v>
      </c>
    </row>
    <row r="509" spans="1:11" x14ac:dyDescent="0.25">
      <c r="A509" s="5"/>
      <c r="B509" s="5" t="str">
        <f t="shared" si="304"/>
        <v>SPS2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0">G503</f>
        <v>0</v>
      </c>
      <c r="H509" s="1">
        <f t="shared" si="310"/>
        <v>0</v>
      </c>
      <c r="I509" s="1">
        <f t="shared" si="310"/>
        <v>0</v>
      </c>
      <c r="J509" s="1">
        <f t="shared" si="310"/>
        <v>3.1084130053193699</v>
      </c>
      <c r="K509" s="1">
        <f t="shared" si="310"/>
        <v>11.710851668066882</v>
      </c>
    </row>
    <row r="510" spans="1:11" x14ac:dyDescent="0.25">
      <c r="A510" s="5"/>
      <c r="B510" s="5" t="str">
        <f t="shared" si="304"/>
        <v>SPS2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0.6916793664071843</v>
      </c>
      <c r="G510" s="1">
        <f t="shared" ref="G510:K510" si="311">SUM(G511:G515)</f>
        <v>1.3668980911440594</v>
      </c>
      <c r="H510" s="1">
        <f t="shared" si="311"/>
        <v>3.3657184603881536</v>
      </c>
      <c r="I510" s="1">
        <f t="shared" si="311"/>
        <v>3.1027365408327636</v>
      </c>
      <c r="J510" s="1">
        <f t="shared" si="311"/>
        <v>3.9415969219838676</v>
      </c>
      <c r="K510" s="1">
        <f t="shared" si="311"/>
        <v>9.7702716810719004</v>
      </c>
    </row>
    <row r="511" spans="1:11" x14ac:dyDescent="0.25">
      <c r="A511" s="5"/>
      <c r="B511" s="5" t="str">
        <f t="shared" si="304"/>
        <v>SPS2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0.6916793664071843</v>
      </c>
      <c r="G511" s="6">
        <f>'[1]Electricity and CHPs_IN'!C$42-G380</f>
        <v>1.3668980911440594</v>
      </c>
      <c r="H511" s="6">
        <f>'[1]Electricity and CHPs_IN'!D$42-H380</f>
        <v>3.3657184603881536</v>
      </c>
      <c r="I511" s="6">
        <f>'[1]Electricity and CHPs_IN'!E$42-I380</f>
        <v>3.0891002844889446</v>
      </c>
      <c r="J511" s="6">
        <f>'[1]Electricity and CHPs_IN'!F$42-J380</f>
        <v>1.8924123330876674</v>
      </c>
      <c r="K511" s="6">
        <f>'[1]Electricity and CHPs_IN'!G$42-K380</f>
        <v>1.3152106325433214E-3</v>
      </c>
    </row>
    <row r="512" spans="1:11" x14ac:dyDescent="0.25">
      <c r="A512" s="5"/>
      <c r="B512" s="5" t="str">
        <f t="shared" si="304"/>
        <v>SPS2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2.0251165848375967</v>
      </c>
      <c r="K512" s="1">
        <f>'[1]Electricity and CHPs_IN'!G$43-K381</f>
        <v>9.7618753945780092</v>
      </c>
    </row>
    <row r="513" spans="1:11" x14ac:dyDescent="0.25">
      <c r="A513" s="5"/>
      <c r="B513" s="5" t="str">
        <f t="shared" si="304"/>
        <v>SPS2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4.5545296731317646E-3</v>
      </c>
      <c r="J513" s="1">
        <f>'[1]Electricity and CHPs_IN'!F$50-J382</f>
        <v>7.2963843097186044E-3</v>
      </c>
      <c r="K513" s="1">
        <f>'[1]Electricity and CHPs_IN'!G$50-K382</f>
        <v>2.7733649308990986E-3</v>
      </c>
    </row>
    <row r="514" spans="1:11" x14ac:dyDescent="0.25">
      <c r="A514" s="5"/>
      <c r="B514" s="5" t="str">
        <f t="shared" si="304"/>
        <v>SPS2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7.2373012766720982E-3</v>
      </c>
      <c r="J514" s="1">
        <f>'[1]Electricity and CHPs_IN'!F$53-J383</f>
        <v>1.4339726774393831E-2</v>
      </c>
      <c r="K514" s="1">
        <f>'[1]Electricity and CHPs_IN'!G$53-K383</f>
        <v>3.6893606701923886E-3</v>
      </c>
    </row>
    <row r="515" spans="1:11" x14ac:dyDescent="0.25">
      <c r="A515" s="5"/>
      <c r="B515" s="5" t="str">
        <f t="shared" si="304"/>
        <v>SPS2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1.8444253940155171E-3</v>
      </c>
      <c r="J515" s="1">
        <f>'[1]Electricity and CHPs_IN'!F$56-J384</f>
        <v>2.4318929744915254E-3</v>
      </c>
      <c r="K515" s="1">
        <f>'[1]Electricity and CHPs_IN'!G$56-K384</f>
        <v>6.183502602578818E-4</v>
      </c>
    </row>
    <row r="516" spans="1:11" x14ac:dyDescent="0.25">
      <c r="A516" s="5"/>
      <c r="B516" s="5" t="str">
        <f t="shared" si="304"/>
        <v>SPS2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2">SUM(G517:G518)</f>
        <v>0</v>
      </c>
      <c r="H516" s="1">
        <f t="shared" si="312"/>
        <v>0</v>
      </c>
      <c r="I516" s="1">
        <f t="shared" si="312"/>
        <v>0.78482776953848388</v>
      </c>
      <c r="J516" s="1">
        <f t="shared" si="312"/>
        <v>0.39796870802569456</v>
      </c>
      <c r="K516" s="1">
        <f t="shared" si="312"/>
        <v>0.18392723711260656</v>
      </c>
    </row>
    <row r="517" spans="1:11" x14ac:dyDescent="0.25">
      <c r="A517" s="5"/>
      <c r="B517" s="5" t="str">
        <f t="shared" si="304"/>
        <v>SPS2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0.78370665015100371</v>
      </c>
      <c r="J517" s="1">
        <f>'[1]Electricity and CHPs_IN'!F$46-J397</f>
        <v>0.39702503597599603</v>
      </c>
      <c r="K517" s="1">
        <f>'[1]Electricity and CHPs_IN'!G$46-K397</f>
        <v>0.18339729693446405</v>
      </c>
    </row>
    <row r="518" spans="1:11" x14ac:dyDescent="0.25">
      <c r="A518" s="5"/>
      <c r="B518" s="5" t="str">
        <f t="shared" si="304"/>
        <v>SPS2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1.1211193874801782E-3</v>
      </c>
      <c r="J518" s="1">
        <f>'[1]Electricity and CHPs_IN'!F$57-J398</f>
        <v>9.4367204969853348E-4</v>
      </c>
      <c r="K518" s="1">
        <f>'[1]Electricity and CHPs_IN'!G$57-K398</f>
        <v>5.2994017814251106E-4</v>
      </c>
    </row>
    <row r="519" spans="1:11" x14ac:dyDescent="0.25">
      <c r="A519" s="5"/>
      <c r="B519" s="9" t="str">
        <f t="shared" si="304"/>
        <v>SPS2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tr">
        <f t="shared" si="304"/>
        <v>SPS2</v>
      </c>
      <c r="C520" s="5" t="s">
        <v>7</v>
      </c>
      <c r="D520" t="s">
        <v>242</v>
      </c>
      <c r="E520" s="5" t="s">
        <v>240</v>
      </c>
      <c r="F520" s="13">
        <f t="shared" ref="F520:K520" si="313">IFERROR(F63/F291,"-")</f>
        <v>0.32978920990197685</v>
      </c>
      <c r="G520" s="13">
        <f t="shared" si="313"/>
        <v>0.32672758857011086</v>
      </c>
      <c r="H520" s="13">
        <f t="shared" si="313"/>
        <v>0.32798116284893286</v>
      </c>
      <c r="I520" s="13">
        <f t="shared" si="313"/>
        <v>0.33016265024283581</v>
      </c>
      <c r="J520" s="13">
        <f t="shared" si="313"/>
        <v>0.33170584005147574</v>
      </c>
      <c r="K520" s="13" t="str">
        <f t="shared" si="313"/>
        <v>-</v>
      </c>
    </row>
    <row r="521" spans="1:11" x14ac:dyDescent="0.25">
      <c r="A521" s="5"/>
      <c r="B521" s="5" t="str">
        <f t="shared" si="304"/>
        <v>SPS2</v>
      </c>
      <c r="C521" s="5" t="s">
        <v>7</v>
      </c>
      <c r="D521" t="s">
        <v>243</v>
      </c>
      <c r="E521" s="5" t="s">
        <v>240</v>
      </c>
      <c r="F521" s="13">
        <f t="shared" ref="F521:K523" si="314">IFERROR(F65/F293,"-")</f>
        <v>1</v>
      </c>
      <c r="G521" s="13">
        <f t="shared" si="314"/>
        <v>1</v>
      </c>
      <c r="H521" s="13">
        <f t="shared" si="314"/>
        <v>1</v>
      </c>
      <c r="I521" s="13">
        <f t="shared" si="314"/>
        <v>1</v>
      </c>
      <c r="J521" s="13">
        <f t="shared" si="314"/>
        <v>1</v>
      </c>
      <c r="K521" s="13">
        <f t="shared" si="314"/>
        <v>1</v>
      </c>
    </row>
    <row r="522" spans="1:11" x14ac:dyDescent="0.25">
      <c r="A522" s="5"/>
      <c r="B522" s="5" t="str">
        <f t="shared" si="304"/>
        <v>SPS2</v>
      </c>
      <c r="C522" s="5" t="s">
        <v>7</v>
      </c>
      <c r="D522" t="s">
        <v>244</v>
      </c>
      <c r="E522" s="5" t="s">
        <v>240</v>
      </c>
      <c r="F522" s="13">
        <f t="shared" si="314"/>
        <v>1</v>
      </c>
      <c r="G522" s="13">
        <f t="shared" si="314"/>
        <v>1</v>
      </c>
      <c r="H522" s="13">
        <f t="shared" si="314"/>
        <v>1</v>
      </c>
      <c r="I522" s="13">
        <f t="shared" si="314"/>
        <v>1</v>
      </c>
      <c r="J522" s="13">
        <f t="shared" si="314"/>
        <v>1</v>
      </c>
      <c r="K522" s="13">
        <f t="shared" si="314"/>
        <v>1</v>
      </c>
    </row>
    <row r="523" spans="1:11" x14ac:dyDescent="0.25">
      <c r="A523" s="5"/>
      <c r="B523" s="5" t="str">
        <f t="shared" si="304"/>
        <v>SPS2</v>
      </c>
      <c r="C523" s="5" t="s">
        <v>7</v>
      </c>
      <c r="D523" t="s">
        <v>245</v>
      </c>
      <c r="E523" s="5" t="s">
        <v>240</v>
      </c>
      <c r="F523" s="13">
        <f t="shared" si="314"/>
        <v>0.7999999978450606</v>
      </c>
      <c r="G523" s="13">
        <f t="shared" si="314"/>
        <v>0.7999999624223687</v>
      </c>
      <c r="H523" s="13">
        <f t="shared" si="314"/>
        <v>0.7999999741668089</v>
      </c>
      <c r="I523" s="13">
        <f t="shared" si="314"/>
        <v>0.80000004556726489</v>
      </c>
      <c r="J523" s="13">
        <f t="shared" si="314"/>
        <v>0.80000010087215478</v>
      </c>
      <c r="K523" s="13">
        <f t="shared" si="314"/>
        <v>0.8000000712154306</v>
      </c>
    </row>
    <row r="524" spans="1:11" x14ac:dyDescent="0.25">
      <c r="A524" s="5"/>
      <c r="B524" s="5" t="str">
        <f t="shared" si="304"/>
        <v>SPS2</v>
      </c>
      <c r="C524" s="5" t="s">
        <v>7</v>
      </c>
      <c r="D524" t="s">
        <v>246</v>
      </c>
      <c r="E524" s="5" t="s">
        <v>240</v>
      </c>
      <c r="F524" s="13">
        <f>IFERROR(F69/F297,"-")</f>
        <v>0.32859504217726021</v>
      </c>
      <c r="G524" s="13">
        <f t="shared" ref="G524:K524" si="315">IFERROR(G69/G297,"-")</f>
        <v>9.6542393932758166E-2</v>
      </c>
      <c r="H524" s="13">
        <f t="shared" si="315"/>
        <v>0.29232560873973185</v>
      </c>
      <c r="I524" s="13">
        <f t="shared" si="315"/>
        <v>0.2754371953982655</v>
      </c>
      <c r="J524" s="13">
        <f t="shared" si="315"/>
        <v>0.32508964201462204</v>
      </c>
      <c r="K524" s="13">
        <f t="shared" si="315"/>
        <v>0.28765956847528595</v>
      </c>
    </row>
    <row r="525" spans="1:11" x14ac:dyDescent="0.25">
      <c r="A525" s="5"/>
      <c r="B525" s="5" t="str">
        <f t="shared" si="304"/>
        <v>SPS2</v>
      </c>
      <c r="C525" s="5" t="s">
        <v>7</v>
      </c>
      <c r="D525" t="s">
        <v>247</v>
      </c>
      <c r="E525" s="5" t="s">
        <v>240</v>
      </c>
      <c r="F525" s="13">
        <f>IFERROR(F70/(F298+F411),"-")</f>
        <v>7.8443541223895047E-2</v>
      </c>
      <c r="G525" s="13">
        <f t="shared" ref="G525:K525" si="316">IFERROR(G70/(G298+G411),"-")</f>
        <v>4.8743614683841932E-2</v>
      </c>
      <c r="H525" s="13">
        <f t="shared" si="316"/>
        <v>9.3774088909413217E-2</v>
      </c>
      <c r="I525" s="13">
        <f t="shared" si="316"/>
        <v>9.9612723271920417E-2</v>
      </c>
      <c r="J525" s="13">
        <f t="shared" si="316"/>
        <v>0.10978611484773658</v>
      </c>
      <c r="K525" s="13">
        <f t="shared" si="316"/>
        <v>0</v>
      </c>
    </row>
    <row r="526" spans="1:11" x14ac:dyDescent="0.25">
      <c r="A526" s="5"/>
      <c r="B526" s="5" t="str">
        <f t="shared" si="304"/>
        <v>SPS2</v>
      </c>
      <c r="C526" s="5" t="s">
        <v>7</v>
      </c>
      <c r="D526" t="s">
        <v>248</v>
      </c>
      <c r="E526" s="5" t="s">
        <v>240</v>
      </c>
      <c r="F526" s="13">
        <f>IFERROR(F71/(F299+F463),"-")</f>
        <v>0.2377970551163438</v>
      </c>
      <c r="G526" s="13">
        <f t="shared" ref="G526:K526" si="317">IFERROR(G71/(G299+G463),"-")</f>
        <v>0.24650441275407822</v>
      </c>
      <c r="H526" s="13">
        <f t="shared" si="317"/>
        <v>0.23846031633165193</v>
      </c>
      <c r="I526" s="13">
        <f t="shared" si="317"/>
        <v>0.26281652934460653</v>
      </c>
      <c r="J526" s="13">
        <f t="shared" si="317"/>
        <v>0.26166271905283545</v>
      </c>
      <c r="K526" s="13">
        <f t="shared" si="317"/>
        <v>0.23751569954704765</v>
      </c>
    </row>
    <row r="527" spans="1:11" x14ac:dyDescent="0.25">
      <c r="A527" s="5"/>
      <c r="B527" s="5" t="str">
        <f t="shared" si="304"/>
        <v>SPS2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18">IFERROR(G81/G309,"-")</f>
        <v>-</v>
      </c>
      <c r="H527" s="13" t="str">
        <f t="shared" si="318"/>
        <v>-</v>
      </c>
      <c r="I527" s="13" t="str">
        <f t="shared" si="318"/>
        <v>-</v>
      </c>
      <c r="J527" s="13">
        <f t="shared" si="318"/>
        <v>0.61738193368965211</v>
      </c>
      <c r="K527" s="13">
        <f t="shared" si="318"/>
        <v>0.53141643360761781</v>
      </c>
    </row>
    <row r="528" spans="1:11" x14ac:dyDescent="0.25">
      <c r="A528" s="5"/>
      <c r="B528" s="5" t="str">
        <f t="shared" si="304"/>
        <v>SPS2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19">IFERROR(G82/G310,"-")</f>
        <v>0.2593007703299286</v>
      </c>
      <c r="H528" s="13">
        <f t="shared" si="319"/>
        <v>0.3373318980171342</v>
      </c>
      <c r="I528" s="13">
        <f t="shared" si="319"/>
        <v>0.13433359872435841</v>
      </c>
      <c r="J528" s="13">
        <f t="shared" si="319"/>
        <v>0.4091628520493274</v>
      </c>
      <c r="K528" s="13">
        <f t="shared" si="319"/>
        <v>0.40563908533795057</v>
      </c>
    </row>
    <row r="529" spans="1:11" x14ac:dyDescent="0.25">
      <c r="A529" s="5"/>
      <c r="B529" s="5" t="str">
        <f t="shared" si="304"/>
        <v>SPS2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0">IFERROR(G83/G311,"-")</f>
        <v>-</v>
      </c>
      <c r="H529" s="13" t="str">
        <f t="shared" si="320"/>
        <v>-</v>
      </c>
      <c r="I529" s="13" t="str">
        <f t="shared" si="320"/>
        <v>-</v>
      </c>
      <c r="J529" s="13">
        <f t="shared" si="320"/>
        <v>0.48214407522639374</v>
      </c>
      <c r="K529" s="13">
        <f t="shared" si="320"/>
        <v>0.50936237474748891</v>
      </c>
    </row>
    <row r="530" spans="1:11" x14ac:dyDescent="0.25">
      <c r="A530" s="5"/>
      <c r="B530" s="5" t="str">
        <f t="shared" si="304"/>
        <v>SPS2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0.26232949533183947</v>
      </c>
      <c r="G530" s="13">
        <f t="shared" ref="G530:K530" si="321">IFERROR(G84/SUM(G312,G417),"-")</f>
        <v>0.18565959761230488</v>
      </c>
      <c r="H530" s="13">
        <f t="shared" si="321"/>
        <v>0.20133362172790389</v>
      </c>
      <c r="I530" s="13">
        <f t="shared" si="321"/>
        <v>1.8161996106441959E-2</v>
      </c>
      <c r="J530" s="13">
        <f t="shared" si="321"/>
        <v>0.2478148845024894</v>
      </c>
      <c r="K530" s="13">
        <f t="shared" si="321"/>
        <v>0.20750286345131036</v>
      </c>
    </row>
    <row r="531" spans="1:11" x14ac:dyDescent="0.25">
      <c r="A531" s="5"/>
      <c r="B531" s="5" t="str">
        <f t="shared" si="304"/>
        <v>SPS2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2">IFERROR(G85/SUM(G313,G418),"-")</f>
        <v>-</v>
      </c>
      <c r="H531" s="13" t="str">
        <f t="shared" si="322"/>
        <v>-</v>
      </c>
      <c r="I531" s="13" t="str">
        <f t="shared" si="322"/>
        <v>-</v>
      </c>
      <c r="J531" s="13">
        <f t="shared" si="322"/>
        <v>0.40000000000000008</v>
      </c>
      <c r="K531" s="13">
        <f t="shared" si="322"/>
        <v>0.39999999999999991</v>
      </c>
    </row>
    <row r="532" spans="1:11" x14ac:dyDescent="0.25">
      <c r="A532" s="5"/>
      <c r="B532" s="5" t="str">
        <f t="shared" si="304"/>
        <v>SPS2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0.34851829643086829</v>
      </c>
      <c r="G532" s="13">
        <f t="shared" ref="G532:K532" si="323">IFERROR(G86/SUM(G314,G469),"-'")</f>
        <v>0.35166314586520631</v>
      </c>
      <c r="H532" s="13">
        <f t="shared" si="323"/>
        <v>0.3501474714698336</v>
      </c>
      <c r="I532" s="13">
        <f t="shared" si="323"/>
        <v>0.327303488814434</v>
      </c>
      <c r="J532" s="13">
        <f t="shared" si="323"/>
        <v>0.35903258643155594</v>
      </c>
      <c r="K532" s="13">
        <f t="shared" si="323"/>
        <v>0.21857490548876748</v>
      </c>
    </row>
    <row r="533" spans="1:11" x14ac:dyDescent="0.25">
      <c r="A533" s="5"/>
      <c r="B533" s="5" t="str">
        <f t="shared" si="304"/>
        <v>SPS2</v>
      </c>
      <c r="C533" s="5" t="s">
        <v>7</v>
      </c>
      <c r="D533" t="s">
        <v>255</v>
      </c>
      <c r="E533" s="5" t="s">
        <v>240</v>
      </c>
      <c r="F533" s="13" t="str">
        <f t="shared" ref="F533:F541" si="324">IFERROR(F87/SUM(F315,F470),"-")</f>
        <v>-</v>
      </c>
      <c r="G533" s="13" t="str">
        <f t="shared" ref="G533:K533" si="325">IFERROR(G87/SUM(G315,G470),"-")</f>
        <v>-</v>
      </c>
      <c r="H533" s="13" t="str">
        <f t="shared" si="325"/>
        <v>-</v>
      </c>
      <c r="I533" s="13" t="str">
        <f t="shared" si="325"/>
        <v>-</v>
      </c>
      <c r="J533" s="13">
        <f t="shared" si="325"/>
        <v>0.28381561484497797</v>
      </c>
      <c r="K533" s="13">
        <f t="shared" si="325"/>
        <v>0.32303451923192134</v>
      </c>
    </row>
    <row r="534" spans="1:11" x14ac:dyDescent="0.25">
      <c r="A534" s="5"/>
      <c r="B534" s="5" t="str">
        <f t="shared" si="304"/>
        <v>SPS2</v>
      </c>
      <c r="C534" s="5" t="s">
        <v>7</v>
      </c>
      <c r="D534" t="s">
        <v>256</v>
      </c>
      <c r="E534" s="5" t="s">
        <v>240</v>
      </c>
      <c r="F534" s="13" t="str">
        <f t="shared" si="324"/>
        <v>-</v>
      </c>
      <c r="G534" s="13" t="str">
        <f t="shared" ref="G534:K534" si="326">IFERROR(G88/SUM(G316,G471),"-")</f>
        <v>-</v>
      </c>
      <c r="H534" s="13" t="str">
        <f t="shared" si="326"/>
        <v>-</v>
      </c>
      <c r="I534" s="13" t="str">
        <f t="shared" si="326"/>
        <v>-</v>
      </c>
      <c r="J534" s="13" t="str">
        <f t="shared" si="326"/>
        <v>-</v>
      </c>
      <c r="K534" s="13" t="str">
        <f t="shared" si="326"/>
        <v>-</v>
      </c>
    </row>
    <row r="535" spans="1:11" x14ac:dyDescent="0.25">
      <c r="A535" s="5"/>
      <c r="B535" s="5" t="str">
        <f t="shared" si="304"/>
        <v>SPS2</v>
      </c>
      <c r="C535" s="5" t="s">
        <v>7</v>
      </c>
      <c r="D535" t="s">
        <v>257</v>
      </c>
      <c r="E535" s="5" t="s">
        <v>240</v>
      </c>
      <c r="F535" s="13">
        <f t="shared" si="324"/>
        <v>0.24964271494432555</v>
      </c>
      <c r="G535" s="13">
        <f t="shared" ref="G535:K535" si="327">IFERROR(G89/SUM(G317,G472),"-")</f>
        <v>0.2596711645967848</v>
      </c>
      <c r="H535" s="13">
        <f t="shared" si="327"/>
        <v>0.18830147391490692</v>
      </c>
      <c r="I535" s="13">
        <f t="shared" si="327"/>
        <v>7.4152526116570824E-3</v>
      </c>
      <c r="J535" s="13">
        <f t="shared" si="327"/>
        <v>0.25822388443021638</v>
      </c>
      <c r="K535" s="13">
        <f t="shared" si="327"/>
        <v>0.24858093027579398</v>
      </c>
    </row>
    <row r="536" spans="1:11" x14ac:dyDescent="0.25">
      <c r="A536" s="5"/>
      <c r="B536" s="5" t="str">
        <f t="shared" si="304"/>
        <v>SPS2</v>
      </c>
      <c r="C536" s="5" t="s">
        <v>7</v>
      </c>
      <c r="D536" t="s">
        <v>258</v>
      </c>
      <c r="E536" s="5" t="s">
        <v>240</v>
      </c>
      <c r="F536" s="13" t="str">
        <f t="shared" si="324"/>
        <v>-</v>
      </c>
      <c r="G536" s="13" t="str">
        <f t="shared" ref="G536:K536" si="328">IFERROR(G90/SUM(G318,G473),"-")</f>
        <v>-</v>
      </c>
      <c r="H536" s="13" t="str">
        <f t="shared" si="328"/>
        <v>-</v>
      </c>
      <c r="I536" s="13">
        <f t="shared" si="328"/>
        <v>0.41999999999999965</v>
      </c>
      <c r="J536" s="13">
        <f t="shared" si="328"/>
        <v>0.44</v>
      </c>
      <c r="K536" s="13">
        <f t="shared" si="328"/>
        <v>0.45000000000000007</v>
      </c>
    </row>
    <row r="537" spans="1:11" x14ac:dyDescent="0.25">
      <c r="A537" s="5"/>
      <c r="B537" s="5" t="str">
        <f t="shared" si="304"/>
        <v>SPS2</v>
      </c>
      <c r="C537" s="5" t="s">
        <v>7</v>
      </c>
      <c r="D537" t="s">
        <v>259</v>
      </c>
      <c r="E537" s="5" t="s">
        <v>240</v>
      </c>
      <c r="F537" s="13">
        <f t="shared" si="324"/>
        <v>0.26770485170219221</v>
      </c>
      <c r="G537" s="13">
        <f t="shared" ref="G537:K537" si="329">IFERROR(G91/SUM(G319,G474),"-")</f>
        <v>0.27523808638545699</v>
      </c>
      <c r="H537" s="13">
        <f t="shared" si="329"/>
        <v>0.22339981214757285</v>
      </c>
      <c r="I537" s="13">
        <f t="shared" si="329"/>
        <v>7.5454520434253191E-3</v>
      </c>
      <c r="J537" s="13">
        <f t="shared" si="329"/>
        <v>0.30453737301913469</v>
      </c>
      <c r="K537" s="13">
        <f t="shared" si="329"/>
        <v>0.26775677665262704</v>
      </c>
    </row>
    <row r="538" spans="1:11" x14ac:dyDescent="0.25">
      <c r="A538" s="5"/>
      <c r="B538" s="5" t="str">
        <f t="shared" si="304"/>
        <v>SPS2</v>
      </c>
      <c r="C538" s="5" t="s">
        <v>7</v>
      </c>
      <c r="D538" t="s">
        <v>260</v>
      </c>
      <c r="E538" s="5" t="s">
        <v>240</v>
      </c>
      <c r="F538" s="13" t="str">
        <f t="shared" si="324"/>
        <v>-</v>
      </c>
      <c r="G538" s="13" t="str">
        <f t="shared" ref="G538:K538" si="330">IFERROR(G92/SUM(G320,G475),"-")</f>
        <v>-</v>
      </c>
      <c r="H538" s="13" t="str">
        <f t="shared" si="330"/>
        <v>-</v>
      </c>
      <c r="I538" s="13">
        <f t="shared" si="330"/>
        <v>0.4200000000000001</v>
      </c>
      <c r="J538" s="13">
        <f t="shared" si="330"/>
        <v>0.43999999999999989</v>
      </c>
      <c r="K538" s="13">
        <f t="shared" si="330"/>
        <v>0.44999999999999957</v>
      </c>
    </row>
    <row r="539" spans="1:11" x14ac:dyDescent="0.25">
      <c r="A539" s="5"/>
      <c r="B539" s="5" t="str">
        <f t="shared" si="304"/>
        <v>SPS2</v>
      </c>
      <c r="C539" s="5" t="s">
        <v>7</v>
      </c>
      <c r="D539" t="s">
        <v>261</v>
      </c>
      <c r="E539" s="5" t="s">
        <v>240</v>
      </c>
      <c r="F539" s="13">
        <f t="shared" si="324"/>
        <v>0.36265477857105466</v>
      </c>
      <c r="G539" s="13">
        <f t="shared" ref="G539:K539" si="331">IFERROR(G93/SUM(G321,G476),"-")</f>
        <v>0.36300238540180108</v>
      </c>
      <c r="H539" s="13">
        <f t="shared" si="331"/>
        <v>0.3634381443588211</v>
      </c>
      <c r="I539" s="13">
        <f t="shared" si="331"/>
        <v>0.36469502428850048</v>
      </c>
      <c r="J539" s="13">
        <f t="shared" si="331"/>
        <v>0.37489141172422824</v>
      </c>
      <c r="K539" s="13">
        <f t="shared" si="331"/>
        <v>0.38515162635374139</v>
      </c>
    </row>
    <row r="540" spans="1:11" x14ac:dyDescent="0.25">
      <c r="A540" s="5"/>
      <c r="B540" s="5" t="str">
        <f t="shared" si="304"/>
        <v>SPS2</v>
      </c>
      <c r="C540" s="5" t="s">
        <v>7</v>
      </c>
      <c r="D540" t="s">
        <v>262</v>
      </c>
      <c r="E540" s="5" t="s">
        <v>240</v>
      </c>
      <c r="F540" s="13">
        <f t="shared" si="324"/>
        <v>0.35667314421019447</v>
      </c>
      <c r="G540" s="13">
        <f t="shared" ref="G540:K540" si="332">IFERROR(G94/SUM(G322,G477),"-")</f>
        <v>0.35995113951700558</v>
      </c>
      <c r="H540" s="13">
        <f t="shared" si="332"/>
        <v>0.26073365870103388</v>
      </c>
      <c r="I540" s="13">
        <f t="shared" si="332"/>
        <v>2.2181131556319299E-3</v>
      </c>
      <c r="J540" s="13">
        <f t="shared" si="332"/>
        <v>0.31449189354520984</v>
      </c>
      <c r="K540" s="13">
        <f t="shared" si="332"/>
        <v>0.30121847493578696</v>
      </c>
    </row>
    <row r="541" spans="1:11" x14ac:dyDescent="0.25">
      <c r="A541" s="5"/>
      <c r="B541" s="5" t="str">
        <f t="shared" si="304"/>
        <v>SPS2</v>
      </c>
      <c r="C541" s="5" t="s">
        <v>7</v>
      </c>
      <c r="D541" t="s">
        <v>263</v>
      </c>
      <c r="E541" s="5" t="s">
        <v>240</v>
      </c>
      <c r="F541" s="13" t="str">
        <f t="shared" si="324"/>
        <v>-</v>
      </c>
      <c r="G541" s="13" t="str">
        <f t="shared" ref="G541:K541" si="333">IFERROR(G95/SUM(G323,G478),"-")</f>
        <v>-</v>
      </c>
      <c r="H541" s="13" t="str">
        <f t="shared" si="333"/>
        <v>-</v>
      </c>
      <c r="I541" s="13">
        <f t="shared" si="333"/>
        <v>0.6</v>
      </c>
      <c r="J541" s="13">
        <f t="shared" si="333"/>
        <v>0.61</v>
      </c>
      <c r="K541" s="13">
        <f t="shared" si="333"/>
        <v>0.61999999999999977</v>
      </c>
    </row>
    <row r="542" spans="1:11" x14ac:dyDescent="0.25">
      <c r="B542" s="5" t="str">
        <f t="shared" si="304"/>
        <v>SPS2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0.35745695376016617</v>
      </c>
      <c r="G542" s="13">
        <f t="shared" ref="G542:K542" si="334">IFERROR(G129/G357,"-")</f>
        <v>0.35745695376016551</v>
      </c>
      <c r="H542" s="13">
        <f t="shared" si="334"/>
        <v>0.35745695376016612</v>
      </c>
      <c r="I542" s="13">
        <f t="shared" si="334"/>
        <v>0.35745695376016551</v>
      </c>
      <c r="J542" s="13">
        <f t="shared" si="334"/>
        <v>0.35745695376016628</v>
      </c>
      <c r="K542" s="13">
        <f t="shared" si="334"/>
        <v>0.3574569537601664</v>
      </c>
    </row>
    <row r="543" spans="1:11" x14ac:dyDescent="0.25">
      <c r="B543" s="5" t="str">
        <f t="shared" si="304"/>
        <v>SPS2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5">IFERROR(G130/G358,"-")</f>
        <v>-</v>
      </c>
      <c r="H543" s="13" t="str">
        <f t="shared" si="335"/>
        <v>-</v>
      </c>
      <c r="I543" s="13" t="str">
        <f t="shared" si="335"/>
        <v>-</v>
      </c>
      <c r="J543" s="13">
        <f t="shared" si="335"/>
        <v>0.33470839322286916</v>
      </c>
      <c r="K543" s="13">
        <f t="shared" si="335"/>
        <v>0.34140256108732592</v>
      </c>
    </row>
    <row r="544" spans="1:11" x14ac:dyDescent="0.25">
      <c r="B544" s="5" t="str">
        <f t="shared" si="304"/>
        <v>SPS2</v>
      </c>
      <c r="C544" s="5" t="s">
        <v>7</v>
      </c>
      <c r="D544" t="s">
        <v>266</v>
      </c>
      <c r="E544" s="5" t="s">
        <v>240</v>
      </c>
      <c r="F544" s="13">
        <f>IFERROR(F131/SUM(F359,F426),"-")</f>
        <v>3.8383652680827524E-2</v>
      </c>
      <c r="G544" s="13">
        <f t="shared" ref="G544:K544" si="336">IFERROR(G131/SUM(G359,G426),"-")</f>
        <v>3.7693491192968713E-2</v>
      </c>
      <c r="H544" s="13">
        <f t="shared" si="336"/>
        <v>3.8372771301568971E-2</v>
      </c>
      <c r="I544" s="13">
        <f t="shared" si="336"/>
        <v>3.6623023958113815E-2</v>
      </c>
      <c r="J544" s="13">
        <f t="shared" si="336"/>
        <v>3.3810307594077764E-2</v>
      </c>
      <c r="K544" s="13">
        <f t="shared" si="336"/>
        <v>2.6105898993300205E-2</v>
      </c>
    </row>
    <row r="545" spans="2:11" x14ac:dyDescent="0.25">
      <c r="B545" s="5" t="str">
        <f t="shared" si="304"/>
        <v>SPS2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37">IFERROR(G132/SUM(G360,G427),"-")</f>
        <v>-</v>
      </c>
      <c r="H545" s="13" t="str">
        <f t="shared" si="337"/>
        <v>-</v>
      </c>
      <c r="I545" s="13" t="str">
        <f t="shared" si="337"/>
        <v>-</v>
      </c>
      <c r="J545" s="13">
        <f t="shared" si="337"/>
        <v>4.8242849883234795E-2</v>
      </c>
      <c r="K545" s="13">
        <f t="shared" si="337"/>
        <v>5.4000000000000006E-2</v>
      </c>
    </row>
    <row r="546" spans="2:11" x14ac:dyDescent="0.25">
      <c r="B546" s="5" t="str">
        <f t="shared" si="304"/>
        <v>SPS2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6.1973035015447223E-2</v>
      </c>
      <c r="G546" s="13">
        <f t="shared" ref="G546:K546" si="338">IFERROR(G133/SUM(G361,G502),"-")</f>
        <v>6.197280441687919E-2</v>
      </c>
      <c r="H546" s="13">
        <f t="shared" si="338"/>
        <v>6.1972650567355278E-2</v>
      </c>
      <c r="I546" s="13">
        <f t="shared" si="338"/>
        <v>6.1972650567355306E-2</v>
      </c>
      <c r="J546" s="13">
        <f t="shared" si="338"/>
        <v>6.1972650567355243E-2</v>
      </c>
      <c r="K546" s="13">
        <f t="shared" si="338"/>
        <v>6.197265056735532E-2</v>
      </c>
    </row>
    <row r="547" spans="2:11" x14ac:dyDescent="0.25">
      <c r="B547" s="5" t="str">
        <f t="shared" si="304"/>
        <v>SPS2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39">IFERROR(G134/SUM(G362,G503),"-")</f>
        <v>-</v>
      </c>
      <c r="H547" s="13" t="str">
        <f t="shared" si="339"/>
        <v>-</v>
      </c>
      <c r="I547" s="13" t="str">
        <f t="shared" si="339"/>
        <v>-</v>
      </c>
      <c r="J547" s="13">
        <f t="shared" si="339"/>
        <v>4.7880823847050454E-2</v>
      </c>
      <c r="K547" s="13">
        <f t="shared" si="339"/>
        <v>4.5431760215214251E-2</v>
      </c>
    </row>
    <row r="548" spans="2:11" x14ac:dyDescent="0.25">
      <c r="B548" s="5" t="str">
        <f t="shared" si="304"/>
        <v>SPS2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0.2416752479293641</v>
      </c>
      <c r="G548" s="13">
        <f t="shared" ref="G548:K548" si="340">IFERROR(G150/SUM(G378,G435),"-")</f>
        <v>0.16245078217870873</v>
      </c>
      <c r="H548" s="13">
        <f t="shared" si="340"/>
        <v>0.19293533669162791</v>
      </c>
      <c r="I548" s="13">
        <f t="shared" si="340"/>
        <v>0.2522230230709302</v>
      </c>
      <c r="J548" s="13">
        <f t="shared" si="340"/>
        <v>0.30600508033715496</v>
      </c>
      <c r="K548" s="13">
        <f t="shared" si="340"/>
        <v>0.30609926926291364</v>
      </c>
    </row>
    <row r="549" spans="2:11" x14ac:dyDescent="0.25">
      <c r="B549" s="5" t="str">
        <f t="shared" si="304"/>
        <v>SPS2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1">IFERROR(G151/G379,"-")</f>
        <v>-</v>
      </c>
      <c r="H549" s="13" t="str">
        <f t="shared" si="341"/>
        <v>-</v>
      </c>
      <c r="I549" s="13" t="str">
        <f t="shared" si="341"/>
        <v>-</v>
      </c>
      <c r="J549" s="13">
        <f t="shared" si="341"/>
        <v>0.14885340851792467</v>
      </c>
      <c r="K549" s="13">
        <f t="shared" si="341"/>
        <v>0.13973686062711027</v>
      </c>
    </row>
    <row r="550" spans="2:11" x14ac:dyDescent="0.25">
      <c r="B550" s="5" t="str">
        <f t="shared" si="304"/>
        <v>SPS2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0.19764648838678081</v>
      </c>
      <c r="G550" s="13">
        <f t="shared" ref="G550:K550" si="342">IFERROR(G152/SUM(G380,G511),"-")</f>
        <v>0.22577389527424663</v>
      </c>
      <c r="H550" s="13">
        <f t="shared" si="342"/>
        <v>0.25185455886021957</v>
      </c>
      <c r="I550" s="13">
        <f t="shared" si="342"/>
        <v>0.27703773235485607</v>
      </c>
      <c r="J550" s="13">
        <f t="shared" si="342"/>
        <v>0.35301181140743276</v>
      </c>
      <c r="K550" s="13">
        <f t="shared" si="342"/>
        <v>0.32906669562724788</v>
      </c>
    </row>
    <row r="551" spans="2:11" x14ac:dyDescent="0.25">
      <c r="B551" s="5" t="str">
        <f t="shared" si="304"/>
        <v>SPS2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3">IFERROR(G153/SUM(G381,G512),"-")</f>
        <v>-</v>
      </c>
      <c r="H551" s="13" t="str">
        <f t="shared" si="343"/>
        <v>-</v>
      </c>
      <c r="I551" s="13" t="str">
        <f t="shared" si="343"/>
        <v>-</v>
      </c>
      <c r="J551" s="13">
        <f t="shared" si="343"/>
        <v>0.33534537157588196</v>
      </c>
      <c r="K551" s="13">
        <f t="shared" si="343"/>
        <v>0.34868369017680084</v>
      </c>
    </row>
    <row r="552" spans="2:11" x14ac:dyDescent="0.25">
      <c r="B552" s="5" t="str">
        <f t="shared" si="304"/>
        <v>SPS2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4">IFERROR(G154/SUM(G382,G513),"-")</f>
        <v>-</v>
      </c>
      <c r="H552" s="13" t="str">
        <f t="shared" si="344"/>
        <v>-</v>
      </c>
      <c r="I552" s="13">
        <f t="shared" si="344"/>
        <v>0.19936869062848625</v>
      </c>
      <c r="J552" s="13">
        <f t="shared" si="344"/>
        <v>0.21622414395531642</v>
      </c>
      <c r="K552" s="13">
        <f t="shared" si="344"/>
        <v>0.23224363243532217</v>
      </c>
    </row>
    <row r="553" spans="2:11" x14ac:dyDescent="0.25">
      <c r="B553" s="5" t="str">
        <f t="shared" si="304"/>
        <v>SPS2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5">IFERROR(G155/SUM(G383,G514),"-")</f>
        <v>-</v>
      </c>
      <c r="H553" s="13" t="str">
        <f t="shared" si="345"/>
        <v>-</v>
      </c>
      <c r="I553" s="13">
        <f t="shared" si="345"/>
        <v>0.23445720165493919</v>
      </c>
      <c r="J553" s="13">
        <f t="shared" si="345"/>
        <v>0.25421243716080621</v>
      </c>
      <c r="K553" s="13">
        <f t="shared" si="345"/>
        <v>0.25737334138662027</v>
      </c>
    </row>
    <row r="554" spans="2:11" x14ac:dyDescent="0.25">
      <c r="B554" s="5" t="str">
        <f t="shared" si="304"/>
        <v>SPS2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46">IFERROR(G156/SUM(G384,G515),"-")</f>
        <v>-</v>
      </c>
      <c r="H554" s="13" t="str">
        <f t="shared" si="346"/>
        <v>-</v>
      </c>
      <c r="I554" s="13">
        <f t="shared" si="346"/>
        <v>0.27040963346530816</v>
      </c>
      <c r="J554" s="13">
        <f t="shared" si="346"/>
        <v>0.28334345691304136</v>
      </c>
      <c r="K554" s="13">
        <f t="shared" si="346"/>
        <v>0.27974042326282178</v>
      </c>
    </row>
    <row r="555" spans="2:11" x14ac:dyDescent="0.25">
      <c r="B555" s="5" t="str">
        <f t="shared" si="304"/>
        <v>SPS2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tr">
        <f t="shared" si="304"/>
        <v>SPS2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tr">
        <f t="shared" si="304"/>
        <v>SPS2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tr">
        <f t="shared" si="304"/>
        <v>SPS2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tr">
        <f t="shared" si="304"/>
        <v>SPS2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tr">
        <f t="shared" si="304"/>
        <v>SPS2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tr">
        <f t="shared" si="304"/>
        <v>SPS2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47">IFERROR(G166/G394,"-")</f>
        <v>-</v>
      </c>
      <c r="H561" s="13" t="str">
        <f t="shared" si="347"/>
        <v>-</v>
      </c>
      <c r="I561" s="13" t="str">
        <f t="shared" si="347"/>
        <v>-</v>
      </c>
      <c r="J561" s="13">
        <f t="shared" si="347"/>
        <v>0.14999999999999991</v>
      </c>
      <c r="K561" s="13">
        <f t="shared" si="347"/>
        <v>0.15000000000000019</v>
      </c>
    </row>
    <row r="562" spans="2:11" x14ac:dyDescent="0.25">
      <c r="B562" s="5" t="str">
        <f t="shared" si="304"/>
        <v>SPS2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48">IFERROR(G168/SUM(G396,G437),"-")</f>
        <v>-</v>
      </c>
      <c r="H562" s="13" t="str">
        <f t="shared" si="348"/>
        <v>-</v>
      </c>
      <c r="I562" s="13" t="str">
        <f t="shared" si="348"/>
        <v>-</v>
      </c>
      <c r="J562" s="13">
        <f t="shared" si="348"/>
        <v>0.42000000000000032</v>
      </c>
      <c r="K562" s="13">
        <f t="shared" si="348"/>
        <v>0.41999999999999987</v>
      </c>
    </row>
    <row r="563" spans="2:11" x14ac:dyDescent="0.25">
      <c r="B563" s="5" t="str">
        <f t="shared" si="304"/>
        <v>SPS2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49">IFERROR(G169/SUM(G397,G517),"-")</f>
        <v>-</v>
      </c>
      <c r="H563" s="13" t="str">
        <f t="shared" si="349"/>
        <v>-</v>
      </c>
      <c r="I563" s="13">
        <f t="shared" si="349"/>
        <v>0.49500000000000011</v>
      </c>
      <c r="J563" s="13">
        <f t="shared" si="349"/>
        <v>0.55000000000000004</v>
      </c>
      <c r="K563" s="13">
        <f t="shared" si="349"/>
        <v>0.59999999999999976</v>
      </c>
    </row>
    <row r="564" spans="2:11" x14ac:dyDescent="0.25">
      <c r="B564" s="5" t="str">
        <f t="shared" ref="B564:B627" si="350">B563</f>
        <v>SPS2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1">IFERROR(G170/SUM(G398,G518),"-")</f>
        <v>-</v>
      </c>
      <c r="H564" s="13" t="str">
        <f t="shared" si="351"/>
        <v>-</v>
      </c>
      <c r="I564" s="13">
        <f t="shared" si="351"/>
        <v>0.47499999999999931</v>
      </c>
      <c r="J564" s="13">
        <f t="shared" si="351"/>
        <v>0.53985835988800179</v>
      </c>
      <c r="K564" s="13">
        <f t="shared" si="351"/>
        <v>0.57498333356027287</v>
      </c>
    </row>
    <row r="565" spans="2:11" x14ac:dyDescent="0.25">
      <c r="B565" s="5" t="str">
        <f t="shared" si="350"/>
        <v>SPS2</v>
      </c>
      <c r="C565" s="5" t="s">
        <v>7</v>
      </c>
      <c r="D565" t="s">
        <v>286</v>
      </c>
      <c r="E565" s="5" t="s">
        <v>240</v>
      </c>
      <c r="F565" s="13">
        <f t="shared" ref="F565:K571" si="352">IFERROR(F172/F400,"-")</f>
        <v>0.67176257724981669</v>
      </c>
      <c r="G565" s="13">
        <f t="shared" si="352"/>
        <v>0.69983667429194607</v>
      </c>
      <c r="H565" s="13">
        <f t="shared" si="352"/>
        <v>0.69999523088325633</v>
      </c>
      <c r="I565" s="13">
        <f t="shared" si="352"/>
        <v>0.69999506835718517</v>
      </c>
      <c r="J565" s="13">
        <f t="shared" si="352"/>
        <v>0.69999061986806832</v>
      </c>
      <c r="K565" s="13">
        <f t="shared" si="352"/>
        <v>0.69998944720463874</v>
      </c>
    </row>
    <row r="566" spans="2:11" x14ac:dyDescent="0.25">
      <c r="B566" s="5" t="str">
        <f t="shared" si="350"/>
        <v>SPS2</v>
      </c>
      <c r="C566" s="5" t="s">
        <v>7</v>
      </c>
      <c r="D566" t="s">
        <v>287</v>
      </c>
      <c r="E566" s="5" t="s">
        <v>240</v>
      </c>
      <c r="F566" s="13">
        <f t="shared" si="352"/>
        <v>0.84736388157979825</v>
      </c>
      <c r="G566" s="13">
        <f t="shared" si="352"/>
        <v>0.86600242319685006</v>
      </c>
      <c r="H566" s="13">
        <f t="shared" si="352"/>
        <v>0.86692298229978937</v>
      </c>
      <c r="I566" s="13">
        <f t="shared" si="352"/>
        <v>0.86690424405805988</v>
      </c>
      <c r="J566" s="13">
        <f t="shared" si="352"/>
        <v>0.86703898722045569</v>
      </c>
      <c r="K566" s="13">
        <f t="shared" si="352"/>
        <v>0.86703919880905311</v>
      </c>
    </row>
    <row r="567" spans="2:11" x14ac:dyDescent="0.25">
      <c r="B567" s="5" t="str">
        <f t="shared" si="350"/>
        <v>SPS2</v>
      </c>
      <c r="C567" s="5" t="s">
        <v>7</v>
      </c>
      <c r="D567" t="s">
        <v>288</v>
      </c>
      <c r="E567" s="5" t="s">
        <v>240</v>
      </c>
      <c r="F567" s="13">
        <f t="shared" si="352"/>
        <v>0.89332692599776242</v>
      </c>
      <c r="G567" s="13">
        <f t="shared" si="352"/>
        <v>0.89424519932578705</v>
      </c>
      <c r="H567" s="13">
        <f t="shared" si="352"/>
        <v>0.89415639814480774</v>
      </c>
      <c r="I567" s="13">
        <f t="shared" si="352"/>
        <v>0.89411327157755738</v>
      </c>
      <c r="J567" s="13">
        <f t="shared" si="352"/>
        <v>0.89426796990728175</v>
      </c>
      <c r="K567" s="13">
        <f t="shared" si="352"/>
        <v>0.89426965275883596</v>
      </c>
    </row>
    <row r="568" spans="2:11" x14ac:dyDescent="0.25">
      <c r="B568" s="5" t="str">
        <f t="shared" si="350"/>
        <v>SPS2</v>
      </c>
      <c r="C568" s="5" t="s">
        <v>7</v>
      </c>
      <c r="D568" t="s">
        <v>289</v>
      </c>
      <c r="E568" s="5" t="s">
        <v>240</v>
      </c>
      <c r="F568" s="13">
        <f t="shared" si="352"/>
        <v>0.89832716028495696</v>
      </c>
      <c r="G568" s="13">
        <f t="shared" si="352"/>
        <v>0.902722451557748</v>
      </c>
      <c r="H568" s="13">
        <f t="shared" si="352"/>
        <v>0.90402643082564527</v>
      </c>
      <c r="I568" s="13">
        <f t="shared" si="352"/>
        <v>0.90421426855036513</v>
      </c>
      <c r="J568" s="13">
        <f t="shared" si="352"/>
        <v>0.90423536332433097</v>
      </c>
      <c r="K568" s="13">
        <f t="shared" si="352"/>
        <v>0.90424297039915469</v>
      </c>
    </row>
    <row r="569" spans="2:11" x14ac:dyDescent="0.25">
      <c r="B569" s="5" t="str">
        <f t="shared" si="350"/>
        <v>SPS2</v>
      </c>
      <c r="C569" s="5" t="s">
        <v>7</v>
      </c>
      <c r="D569" t="s">
        <v>1855</v>
      </c>
      <c r="E569" s="5" t="s">
        <v>240</v>
      </c>
      <c r="F569" s="13">
        <f t="shared" si="352"/>
        <v>0.89836534203855523</v>
      </c>
      <c r="G569" s="13">
        <f t="shared" si="352"/>
        <v>0.90293471763558386</v>
      </c>
      <c r="H569" s="13">
        <f t="shared" si="352"/>
        <v>0.90405818957244355</v>
      </c>
      <c r="I569" s="13">
        <f t="shared" si="352"/>
        <v>0.904267358809143</v>
      </c>
      <c r="J569" s="13">
        <f t="shared" si="352"/>
        <v>0.9042682281438128</v>
      </c>
      <c r="K569" s="13">
        <f t="shared" si="352"/>
        <v>0.90426892915492285</v>
      </c>
    </row>
    <row r="570" spans="2:11" x14ac:dyDescent="0.25">
      <c r="B570" s="5" t="str">
        <f t="shared" si="350"/>
        <v>SPS2</v>
      </c>
      <c r="C570" s="5" t="s">
        <v>7</v>
      </c>
      <c r="D570" t="s">
        <v>290</v>
      </c>
      <c r="E570" s="5" t="s">
        <v>240</v>
      </c>
      <c r="F570" s="13">
        <f t="shared" si="352"/>
        <v>0.89836534585527184</v>
      </c>
      <c r="G570" s="13">
        <f t="shared" si="352"/>
        <v>0.90293675946823393</v>
      </c>
      <c r="H570" s="13">
        <f t="shared" si="352"/>
        <v>0.90405835268216805</v>
      </c>
      <c r="I570" s="13">
        <f t="shared" si="352"/>
        <v>0.90426776175653456</v>
      </c>
      <c r="J570" s="13">
        <f t="shared" si="352"/>
        <v>0.90426828635043544</v>
      </c>
      <c r="K570" s="13">
        <f t="shared" si="352"/>
        <v>0.90426894955480364</v>
      </c>
    </row>
    <row r="571" spans="2:11" x14ac:dyDescent="0.25">
      <c r="B571" s="5" t="str">
        <f t="shared" si="350"/>
        <v>SPS2</v>
      </c>
      <c r="C571" s="5" t="s">
        <v>7</v>
      </c>
      <c r="D571" t="s">
        <v>291</v>
      </c>
      <c r="E571" s="5" t="s">
        <v>240</v>
      </c>
      <c r="F571" s="13">
        <f t="shared" si="352"/>
        <v>0.89826697140745049</v>
      </c>
      <c r="G571" s="13">
        <f t="shared" si="352"/>
        <v>0.90273483717202396</v>
      </c>
      <c r="H571" s="13">
        <f t="shared" si="352"/>
        <v>0.90377192468096146</v>
      </c>
      <c r="I571" s="13">
        <f t="shared" si="352"/>
        <v>0.90421141027047847</v>
      </c>
      <c r="J571" s="13">
        <f t="shared" si="352"/>
        <v>0.9042354203496874</v>
      </c>
      <c r="K571" s="13">
        <f t="shared" si="352"/>
        <v>0.90423720007440167</v>
      </c>
    </row>
    <row r="572" spans="2:11" x14ac:dyDescent="0.25">
      <c r="B572" s="9" t="str">
        <f t="shared" si="350"/>
        <v>SPS2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tr">
        <f t="shared" si="350"/>
        <v>SPS2</v>
      </c>
      <c r="C573" s="5" t="s">
        <v>7</v>
      </c>
      <c r="D573" t="s">
        <v>297</v>
      </c>
      <c r="E573" s="5" t="s">
        <v>240</v>
      </c>
      <c r="F573" s="4">
        <f>IFERROR(F210/F440,"-")</f>
        <v>0.59933752801943563</v>
      </c>
      <c r="G573" s="4">
        <f t="shared" ref="G573:K573" si="353">IFERROR(G210/G440,"-")</f>
        <v>0.85126340644333143</v>
      </c>
      <c r="H573" s="4">
        <f t="shared" si="353"/>
        <v>0.85405331649144245</v>
      </c>
      <c r="I573" s="4">
        <f t="shared" si="353"/>
        <v>0.72024967288010155</v>
      </c>
      <c r="J573" s="4">
        <f t="shared" si="353"/>
        <v>0.38116856618522965</v>
      </c>
      <c r="K573" s="4">
        <f t="shared" si="353"/>
        <v>0.41358448090728878</v>
      </c>
    </row>
    <row r="574" spans="2:11" x14ac:dyDescent="0.25">
      <c r="B574" s="5" t="str">
        <f t="shared" si="350"/>
        <v>SPS2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4">IFERROR(G216/G446,"-")</f>
        <v>1</v>
      </c>
      <c r="H574" s="4">
        <f t="shared" si="354"/>
        <v>1</v>
      </c>
      <c r="I574" s="4">
        <f t="shared" si="354"/>
        <v>1</v>
      </c>
      <c r="J574" s="4" t="str">
        <f t="shared" si="354"/>
        <v>-</v>
      </c>
      <c r="K574" s="4" t="str">
        <f t="shared" si="354"/>
        <v>-</v>
      </c>
    </row>
    <row r="575" spans="2:11" x14ac:dyDescent="0.25">
      <c r="B575" s="5" t="str">
        <f t="shared" si="350"/>
        <v>SPS2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0.85445501111132505</v>
      </c>
      <c r="G575" s="4">
        <f t="shared" ref="G575:K575" si="355">IFERROR(G218/G448,"-")</f>
        <v>0.85445501111132438</v>
      </c>
      <c r="H575" s="4">
        <f t="shared" si="355"/>
        <v>0.85445501111132571</v>
      </c>
      <c r="I575" s="4">
        <f t="shared" si="355"/>
        <v>0.85445501111132593</v>
      </c>
      <c r="J575" s="4">
        <f t="shared" si="355"/>
        <v>0.85445501111132427</v>
      </c>
      <c r="K575" s="4" t="str">
        <f t="shared" si="355"/>
        <v>-</v>
      </c>
    </row>
    <row r="576" spans="2:11" x14ac:dyDescent="0.25">
      <c r="B576" s="5" t="str">
        <f t="shared" si="350"/>
        <v>SPS2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0.69999999999999918</v>
      </c>
      <c r="G576" s="4">
        <f t="shared" ref="G576:K576" si="356">IFERROR(G224/G454,"-")</f>
        <v>0.69999999999999962</v>
      </c>
      <c r="H576" s="4">
        <f t="shared" si="356"/>
        <v>0.70000000000000051</v>
      </c>
      <c r="I576" s="4">
        <f t="shared" si="356"/>
        <v>0.70000000000000029</v>
      </c>
      <c r="J576" s="4">
        <f t="shared" si="356"/>
        <v>0.70000000000000018</v>
      </c>
      <c r="K576" s="4">
        <f t="shared" si="356"/>
        <v>0.70000000000000084</v>
      </c>
    </row>
    <row r="577" spans="2:11" x14ac:dyDescent="0.25">
      <c r="B577" s="5" t="str">
        <f t="shared" si="350"/>
        <v>SPS2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57">IFERROR(G226/G456,"-")</f>
        <v>-</v>
      </c>
      <c r="H577" t="str">
        <f t="shared" si="357"/>
        <v>-</v>
      </c>
      <c r="I577">
        <f t="shared" si="357"/>
        <v>1</v>
      </c>
      <c r="J577">
        <f t="shared" si="357"/>
        <v>1</v>
      </c>
      <c r="K577">
        <f t="shared" si="357"/>
        <v>1</v>
      </c>
    </row>
    <row r="578" spans="2:11" x14ac:dyDescent="0.25">
      <c r="B578" s="5" t="str">
        <f t="shared" si="350"/>
        <v>SPS2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58">IFERROR(G228/G458,"-")</f>
        <v>-</v>
      </c>
      <c r="H578" t="str">
        <f t="shared" si="358"/>
        <v>-</v>
      </c>
      <c r="I578" t="str">
        <f t="shared" si="358"/>
        <v>-</v>
      </c>
      <c r="J578">
        <f t="shared" si="358"/>
        <v>0.85000000000000042</v>
      </c>
      <c r="K578">
        <f t="shared" si="358"/>
        <v>0.84999999999999976</v>
      </c>
    </row>
    <row r="579" spans="2:11" x14ac:dyDescent="0.25">
      <c r="B579" s="5" t="str">
        <f t="shared" si="350"/>
        <v>SPS2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59">IFERROR(G230/G460,"-")</f>
        <v>3.0000000000000009</v>
      </c>
      <c r="H579" s="4">
        <f t="shared" si="359"/>
        <v>3.0000000000000049</v>
      </c>
      <c r="I579" s="4">
        <f t="shared" si="359"/>
        <v>2.999999999999996</v>
      </c>
      <c r="J579" s="4">
        <f t="shared" si="359"/>
        <v>2.9999999999999996</v>
      </c>
      <c r="K579" s="4">
        <f t="shared" si="359"/>
        <v>3.0000000000000009</v>
      </c>
    </row>
    <row r="580" spans="2:11" x14ac:dyDescent="0.25">
      <c r="B580" s="9" t="str">
        <f t="shared" si="350"/>
        <v>SPS2</v>
      </c>
      <c r="C580" s="9" t="s">
        <v>7</v>
      </c>
      <c r="D580" s="2" t="s">
        <v>303</v>
      </c>
      <c r="E580" s="9" t="s">
        <v>8</v>
      </c>
      <c r="F580" s="3">
        <f>[1]Other_transformation!B$5</f>
        <v>1.3938279642449927E-5</v>
      </c>
      <c r="G580" s="3">
        <f>[1]Other_transformation!C$5</f>
        <v>0.36346552815459621</v>
      </c>
      <c r="H580" s="3">
        <f>[1]Other_transformation!D$5</f>
        <v>5.6407234230080206E-4</v>
      </c>
      <c r="I580" s="3">
        <f>[1]Other_transformation!E$5</f>
        <v>4.2926835224446847E-2</v>
      </c>
      <c r="J580" s="3">
        <f>[1]Other_transformation!F$5</f>
        <v>2.5721858333016486E-2</v>
      </c>
      <c r="K580" s="3">
        <f>[1]Other_transformation!G$5</f>
        <v>3.5937921225333009</v>
      </c>
    </row>
    <row r="581" spans="2:11" x14ac:dyDescent="0.25">
      <c r="B581" s="5" t="str">
        <f t="shared" si="350"/>
        <v>SPS2</v>
      </c>
      <c r="C581" s="5" t="s">
        <v>7</v>
      </c>
      <c r="D581" t="s">
        <v>903</v>
      </c>
      <c r="E581" s="5" t="s">
        <v>8</v>
      </c>
      <c r="F581" s="1">
        <f>F580</f>
        <v>1.3938279642449927E-5</v>
      </c>
      <c r="G581" s="1">
        <f t="shared" ref="G581:K581" si="360">G580</f>
        <v>0.36346552815459621</v>
      </c>
      <c r="H581" s="1">
        <f t="shared" si="360"/>
        <v>5.6407234230080206E-4</v>
      </c>
      <c r="I581" s="1">
        <f t="shared" si="360"/>
        <v>4.2926835224446847E-2</v>
      </c>
      <c r="J581" s="1">
        <f t="shared" si="360"/>
        <v>2.5721858333016486E-2</v>
      </c>
      <c r="K581" s="1">
        <f t="shared" si="360"/>
        <v>3.5937921225333009</v>
      </c>
    </row>
    <row r="582" spans="2:11" x14ac:dyDescent="0.25">
      <c r="B582" s="5" t="str">
        <f t="shared" si="350"/>
        <v>SPS2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1.3938279642449927E-5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0.36346552815459621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5.6407234230080206E-4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4.2926835224446847E-2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2.5465074677857601E-2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2.1436076499364399E-2</v>
      </c>
    </row>
    <row r="583" spans="2:11" x14ac:dyDescent="0.25">
      <c r="B583" s="5" t="str">
        <f t="shared" si="350"/>
        <v>SPS2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2.5678365515888511E-4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3.5723560460339367</v>
      </c>
    </row>
    <row r="584" spans="2:11" x14ac:dyDescent="0.25">
      <c r="B584" s="9" t="str">
        <f t="shared" si="350"/>
        <v>SPS2</v>
      </c>
      <c r="C584" s="9" t="s">
        <v>7</v>
      </c>
      <c r="D584" s="2" t="s">
        <v>370</v>
      </c>
      <c r="E584" s="9" t="s">
        <v>8</v>
      </c>
      <c r="F584" s="3">
        <f>F585</f>
        <v>5.4359290605554697E-6</v>
      </c>
      <c r="G584" s="3">
        <f t="shared" ref="G584:K584" si="361">G585</f>
        <v>0.14175155598029235</v>
      </c>
      <c r="H584" s="3">
        <f t="shared" si="361"/>
        <v>2.1998821349731256E-4</v>
      </c>
      <c r="I584" s="3">
        <f t="shared" si="361"/>
        <v>1.6741465737534243E-2</v>
      </c>
      <c r="J584" s="3">
        <f t="shared" si="361"/>
        <v>1.0031524749876418E-2</v>
      </c>
      <c r="K584" s="3">
        <f t="shared" si="361"/>
        <v>1.4015789277879855</v>
      </c>
    </row>
    <row r="585" spans="2:11" x14ac:dyDescent="0.25">
      <c r="B585" s="5" t="str">
        <f t="shared" si="350"/>
        <v>SPS2</v>
      </c>
      <c r="C585" s="5" t="s">
        <v>7</v>
      </c>
      <c r="D585" t="s">
        <v>904</v>
      </c>
      <c r="E585" s="5" t="s">
        <v>8</v>
      </c>
      <c r="F585" s="1">
        <f>SUM(F586:F587)</f>
        <v>5.4359290605554697E-6</v>
      </c>
      <c r="G585" s="1">
        <f t="shared" ref="G585:K585" si="362">SUM(G586:G587)</f>
        <v>0.14175155598029235</v>
      </c>
      <c r="H585" s="1">
        <f t="shared" si="362"/>
        <v>2.1998821349731256E-4</v>
      </c>
      <c r="I585" s="1">
        <f t="shared" si="362"/>
        <v>1.6741465737534243E-2</v>
      </c>
      <c r="J585" s="1">
        <f t="shared" si="362"/>
        <v>1.0031524749876418E-2</v>
      </c>
      <c r="K585" s="1">
        <f t="shared" si="362"/>
        <v>1.4015789277879855</v>
      </c>
    </row>
    <row r="586" spans="2:11" x14ac:dyDescent="0.25">
      <c r="B586" s="5" t="str">
        <f t="shared" si="350"/>
        <v>SPS2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5.4359290605554697E-6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0.14175155598029235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2.1998821349731256E-4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1.6741465737534243E-2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9.9313791243644534E-3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8.360069834752102E-3</v>
      </c>
    </row>
    <row r="587" spans="2:11" x14ac:dyDescent="0.25">
      <c r="B587" s="5" t="str">
        <f t="shared" si="350"/>
        <v>SPS2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1.0014562551196508E-4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1.3932188579532334</v>
      </c>
    </row>
    <row r="588" spans="2:11" x14ac:dyDescent="0.25">
      <c r="B588" s="9" t="str">
        <f t="shared" si="350"/>
        <v>SPS2</v>
      </c>
      <c r="C588" s="9" t="s">
        <v>7</v>
      </c>
      <c r="D588" s="2" t="s">
        <v>373</v>
      </c>
      <c r="E588" s="9" t="s">
        <v>8</v>
      </c>
      <c r="F588" s="3">
        <f>F589+F592</f>
        <v>4.0685838276311343E-5</v>
      </c>
      <c r="G588" s="3">
        <f t="shared" ref="G588:K588" si="363">G589+G592</f>
        <v>1.0609558766832659</v>
      </c>
      <c r="H588" s="3">
        <f t="shared" si="363"/>
        <v>1.6465271671760435E-3</v>
      </c>
      <c r="I588" s="3">
        <f t="shared" si="363"/>
        <v>0.12530343202016034</v>
      </c>
      <c r="J588" s="3">
        <f t="shared" si="363"/>
        <v>7.5097401443246739E-2</v>
      </c>
      <c r="K588" s="3">
        <f t="shared" si="363"/>
        <v>10.703089558702729</v>
      </c>
    </row>
    <row r="589" spans="2:11" x14ac:dyDescent="0.25">
      <c r="B589" s="5" t="str">
        <f t="shared" si="350"/>
        <v>SPS2</v>
      </c>
      <c r="C589" s="5" t="s">
        <v>7</v>
      </c>
      <c r="D589" t="s">
        <v>905</v>
      </c>
      <c r="E589" s="5" t="s">
        <v>8</v>
      </c>
      <c r="F589" s="1">
        <f>SUM(F590:F591)</f>
        <v>3.9717127841161071E-5</v>
      </c>
      <c r="G589" s="1">
        <f t="shared" ref="G589:K589" si="364">SUM(G590:G591)</f>
        <v>1.0356950224765213</v>
      </c>
      <c r="H589" s="1">
        <f t="shared" si="364"/>
        <v>1.6073241393861377E-3</v>
      </c>
      <c r="I589" s="1">
        <f t="shared" si="364"/>
        <v>0.12232001697206127</v>
      </c>
      <c r="J589" s="1">
        <f t="shared" si="364"/>
        <v>7.329443531993049E-2</v>
      </c>
      <c r="K589" s="1">
        <f t="shared" si="364"/>
        <v>10.240510653158642</v>
      </c>
    </row>
    <row r="590" spans="2:11" x14ac:dyDescent="0.25">
      <c r="B590" s="5" t="str">
        <f t="shared" si="350"/>
        <v>SPS2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3.9717127841161071E-5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1.0356950224765213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1.6073241393861377E-3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0.12232001697206127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7.2562730294555247E-2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6.1082099984938812E-2</v>
      </c>
    </row>
    <row r="591" spans="2:11" x14ac:dyDescent="0.25">
      <c r="B591" s="5" t="str">
        <f t="shared" si="350"/>
        <v>SPS2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7.3170502537524317E-4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10.179428553173704</v>
      </c>
    </row>
    <row r="592" spans="2:11" x14ac:dyDescent="0.25">
      <c r="B592" s="5" t="str">
        <f t="shared" si="350"/>
        <v>SPS2</v>
      </c>
      <c r="C592" s="5" t="s">
        <v>7</v>
      </c>
      <c r="D592" t="s">
        <v>906</v>
      </c>
      <c r="E592" s="5" t="s">
        <v>8</v>
      </c>
      <c r="F592" s="1">
        <f>SUM(F593:F594)</f>
        <v>9.6871043515027041E-7</v>
      </c>
      <c r="G592" s="1">
        <f t="shared" ref="G592:K592" si="365">SUM(G593:G594)</f>
        <v>2.5260854206744402E-2</v>
      </c>
      <c r="H592" s="1">
        <f t="shared" si="365"/>
        <v>3.9203027789905757E-5</v>
      </c>
      <c r="I592" s="1">
        <f t="shared" si="365"/>
        <v>2.9834150480990565E-3</v>
      </c>
      <c r="J592" s="1">
        <f t="shared" si="365"/>
        <v>1.8029661233162544E-3</v>
      </c>
      <c r="K592" s="1">
        <f t="shared" si="365"/>
        <v>0.46257890554408626</v>
      </c>
    </row>
    <row r="593" spans="2:11" x14ac:dyDescent="0.25">
      <c r="B593" s="5" t="str">
        <f t="shared" si="350"/>
        <v>SPS2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9.6871043515027041E-7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2.5260854206744402E-2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3.9203027789905757E-5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2.9834150480990565E-3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1.769822690111104E-3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1.4898073167058255E-3</v>
      </c>
    </row>
    <row r="594" spans="2:11" x14ac:dyDescent="0.25">
      <c r="B594" s="5" t="str">
        <f t="shared" si="350"/>
        <v>SPS2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3.3143433205150372E-5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0.46108909822738042</v>
      </c>
    </row>
    <row r="595" spans="2:11" x14ac:dyDescent="0.25">
      <c r="B595" s="9" t="str">
        <f t="shared" si="350"/>
        <v>SPS2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tr">
        <f t="shared" si="350"/>
        <v>SPS2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0.47619047619047605</v>
      </c>
      <c r="G596" s="4">
        <f t="shared" ref="G596:K597" si="366">IFERROR(SUM(G582,G586)/SUM(G590,G593),"-")</f>
        <v>0.47619047619047622</v>
      </c>
      <c r="H596" s="4">
        <f t="shared" si="366"/>
        <v>0.47619047619047539</v>
      </c>
      <c r="I596" s="4">
        <f t="shared" si="366"/>
        <v>0.47619047619047594</v>
      </c>
      <c r="J596" s="4">
        <f t="shared" si="366"/>
        <v>0.476190476190476</v>
      </c>
      <c r="K596" s="4">
        <f t="shared" si="366"/>
        <v>0.47619047619047633</v>
      </c>
    </row>
    <row r="597" spans="2:11" x14ac:dyDescent="0.25">
      <c r="B597" s="5" t="str">
        <f t="shared" si="350"/>
        <v>SPS2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6"/>
        <v>-</v>
      </c>
      <c r="H597" s="4" t="str">
        <f t="shared" si="366"/>
        <v>-</v>
      </c>
      <c r="I597" s="4" t="str">
        <f t="shared" si="366"/>
        <v>-</v>
      </c>
      <c r="J597" s="4">
        <f t="shared" si="366"/>
        <v>0.46666666666666651</v>
      </c>
      <c r="K597" s="4">
        <f t="shared" si="366"/>
        <v>0.46666666666666634</v>
      </c>
    </row>
    <row r="598" spans="2:11" x14ac:dyDescent="0.25">
      <c r="B598" s="9" t="str">
        <f t="shared" si="350"/>
        <v>SPS2</v>
      </c>
      <c r="C598" s="9" t="s">
        <v>7</v>
      </c>
      <c r="D598" s="2" t="s">
        <v>376</v>
      </c>
      <c r="E598" s="9" t="s">
        <v>8</v>
      </c>
      <c r="F598" s="1">
        <f>[1]Other_transformation!B$12</f>
        <v>0.9027148946923057</v>
      </c>
      <c r="G598" s="1">
        <f>[1]Other_transformation!C$12</f>
        <v>4.106229796414272E-4</v>
      </c>
      <c r="H598" s="1">
        <f>[1]Other_transformation!D$12</f>
        <v>1.3217190557356178E-3</v>
      </c>
      <c r="I598" s="1">
        <f>[1]Other_transformation!E$12</f>
        <v>3.7867195814131907E-2</v>
      </c>
      <c r="J598" s="1">
        <f>[1]Other_transformation!F$12</f>
        <v>2.6608753063504185E-4</v>
      </c>
      <c r="K598" s="1">
        <f>[1]Other_transformation!G$12</f>
        <v>0.26284534860180925</v>
      </c>
    </row>
    <row r="599" spans="2:11" x14ac:dyDescent="0.25">
      <c r="B599" s="5" t="str">
        <f t="shared" si="350"/>
        <v>SPS2</v>
      </c>
      <c r="C599" s="5" t="s">
        <v>7</v>
      </c>
      <c r="D599" t="s">
        <v>2165</v>
      </c>
      <c r="E599" t="str">
        <f>E598</f>
        <v>PJ/yr.</v>
      </c>
      <c r="F599" s="1">
        <f>SUM(F600:F601)</f>
        <v>0.9027148946923057</v>
      </c>
      <c r="G599" s="1">
        <f t="shared" ref="G599:K599" si="367">SUM(G600:G601)</f>
        <v>4.106229796414272E-4</v>
      </c>
      <c r="H599" s="1">
        <f t="shared" si="367"/>
        <v>1.3217190557356178E-3</v>
      </c>
      <c r="I599" s="1">
        <f t="shared" si="367"/>
        <v>3.7867195814131907E-2</v>
      </c>
      <c r="J599" s="1">
        <f t="shared" si="367"/>
        <v>2.6608753063504185E-4</v>
      </c>
      <c r="K599" s="1">
        <f t="shared" si="367"/>
        <v>0.26284534860180925</v>
      </c>
    </row>
    <row r="600" spans="2:11" x14ac:dyDescent="0.25">
      <c r="B600" s="5" t="str">
        <f t="shared" si="350"/>
        <v>SPS2</v>
      </c>
      <c r="C600" s="5" t="s">
        <v>7</v>
      </c>
      <c r="D600" t="s">
        <v>2166</v>
      </c>
      <c r="E600" t="str">
        <f t="shared" ref="E600:E601" si="368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0.9027148946923057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4.106229796414272E-4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1.3217190557356178E-3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3.7867195814131907E-2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1.594246767284983E-4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1.878764687757352E-4</v>
      </c>
    </row>
    <row r="601" spans="2:11" x14ac:dyDescent="0.25">
      <c r="B601" s="5" t="str">
        <f t="shared" si="350"/>
        <v>SPS2</v>
      </c>
      <c r="C601" s="5" t="s">
        <v>7</v>
      </c>
      <c r="D601" t="s">
        <v>2167</v>
      </c>
      <c r="E601" t="str">
        <f t="shared" si="368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1.0666285390654355E-4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0.26265747213303353</v>
      </c>
    </row>
    <row r="602" spans="2:11" x14ac:dyDescent="0.25">
      <c r="B602" s="9" t="str">
        <f t="shared" si="350"/>
        <v>SPS2</v>
      </c>
      <c r="C602" s="9" t="s">
        <v>7</v>
      </c>
      <c r="D602" s="2" t="s">
        <v>378</v>
      </c>
      <c r="E602" s="9" t="s">
        <v>8</v>
      </c>
      <c r="F602" s="3">
        <f>F603+F606</f>
        <v>3.3671265572022984</v>
      </c>
      <c r="G602" s="3">
        <f t="shared" ref="G602:K602" si="369">G603+G606</f>
        <v>1.5316237140625241E-3</v>
      </c>
      <c r="H602" s="3">
        <f t="shared" si="369"/>
        <v>4.9300120778938555E-3</v>
      </c>
      <c r="I602" s="3">
        <f t="shared" si="369"/>
        <v>0.141244640386712</v>
      </c>
      <c r="J602" s="3">
        <f t="shared" si="369"/>
        <v>1.041571402065716E-3</v>
      </c>
      <c r="K602" s="3">
        <f t="shared" si="369"/>
        <v>1.1012355874659452</v>
      </c>
    </row>
    <row r="603" spans="2:11" x14ac:dyDescent="0.25">
      <c r="B603" s="5" t="str">
        <f t="shared" si="350"/>
        <v>SPS2</v>
      </c>
      <c r="C603" s="5" t="s">
        <v>7</v>
      </c>
      <c r="D603" t="s">
        <v>907</v>
      </c>
      <c r="E603" s="5" t="s">
        <v>8</v>
      </c>
      <c r="F603" s="1">
        <f>SUM(F604:F605)</f>
        <v>1.8866741299069176</v>
      </c>
      <c r="G603" s="1">
        <f t="shared" ref="G603:K603" si="370">SUM(G604:G605)</f>
        <v>8.5820202745058301E-4</v>
      </c>
      <c r="H603" s="1">
        <f t="shared" si="370"/>
        <v>2.7623928264874421E-3</v>
      </c>
      <c r="I603" s="1">
        <f t="shared" si="370"/>
        <v>7.9142439251535704E-2</v>
      </c>
      <c r="J603" s="1">
        <f t="shared" si="370"/>
        <v>5.561229390272373E-4</v>
      </c>
      <c r="K603" s="1">
        <f t="shared" si="370"/>
        <v>0.54934677857778191</v>
      </c>
    </row>
    <row r="604" spans="2:11" x14ac:dyDescent="0.25">
      <c r="B604" s="5" t="str">
        <f t="shared" si="350"/>
        <v>SPS2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1.8866741299069176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8.5820202745058301E-4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2.7623928264874421E-3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7.9142439251535704E-2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3.3319757436256118E-4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3.926618197412865E-4</v>
      </c>
    </row>
    <row r="605" spans="2:11" x14ac:dyDescent="0.25">
      <c r="B605" s="5" t="str">
        <f t="shared" si="350"/>
        <v>SPS2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2.2292536466467618E-4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0.54895411675804062</v>
      </c>
    </row>
    <row r="606" spans="2:11" x14ac:dyDescent="0.25">
      <c r="B606" s="5" t="str">
        <f t="shared" si="350"/>
        <v>SPS2</v>
      </c>
      <c r="C606" s="5" t="s">
        <v>7</v>
      </c>
      <c r="D606" t="s">
        <v>908</v>
      </c>
      <c r="E606" s="5" t="s">
        <v>8</v>
      </c>
      <c r="F606" s="1">
        <f>SUM(F607:F608)</f>
        <v>1.480452427295381</v>
      </c>
      <c r="G606" s="1">
        <f t="shared" ref="G606:K606" si="371">SUM(G607:G608)</f>
        <v>6.7342168661194103E-4</v>
      </c>
      <c r="H606" s="1">
        <f t="shared" si="371"/>
        <v>2.1676192514064139E-3</v>
      </c>
      <c r="I606" s="1">
        <f t="shared" si="371"/>
        <v>6.210220113517629E-2</v>
      </c>
      <c r="J606" s="1">
        <f t="shared" si="371"/>
        <v>4.8544846303847863E-4</v>
      </c>
      <c r="K606" s="1">
        <f t="shared" si="371"/>
        <v>0.55188880888816338</v>
      </c>
    </row>
    <row r="607" spans="2:11" x14ac:dyDescent="0.25">
      <c r="B607" s="5" t="str">
        <f t="shared" si="350"/>
        <v>SPS2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1.480452427295381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6.7342168661194103E-4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2.1676192514064139E-3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6.210220113517629E-2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2.6145646983473695E-4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3.081174087922056E-4</v>
      </c>
    </row>
    <row r="608" spans="2:11" x14ac:dyDescent="0.25">
      <c r="B608" s="5" t="str">
        <f t="shared" si="350"/>
        <v>SPS2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2.2399199320374165E-4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0.55158069147937117</v>
      </c>
    </row>
    <row r="609" spans="2:11" x14ac:dyDescent="0.25">
      <c r="B609" s="9" t="str">
        <f t="shared" si="350"/>
        <v>SPS2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tr">
        <f t="shared" si="350"/>
        <v>SPS2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0.26809651474530849</v>
      </c>
      <c r="G610">
        <f t="shared" ref="G610:K611" si="372">IFERROR(G600/SUM(G604,G607),"-")</f>
        <v>0.26809651474530821</v>
      </c>
      <c r="H610">
        <f t="shared" si="372"/>
        <v>0.26809651474530827</v>
      </c>
      <c r="I610">
        <f t="shared" si="372"/>
        <v>0.26809651474530832</v>
      </c>
      <c r="J610">
        <f t="shared" si="372"/>
        <v>0.26809651474530855</v>
      </c>
      <c r="K610">
        <f t="shared" si="372"/>
        <v>0.26809651474530838</v>
      </c>
    </row>
    <row r="611" spans="2:11" x14ac:dyDescent="0.25">
      <c r="B611" s="5" t="str">
        <f t="shared" si="350"/>
        <v>SPS2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2"/>
        <v>-</v>
      </c>
      <c r="H611" t="str">
        <f t="shared" si="372"/>
        <v>-</v>
      </c>
      <c r="I611" t="str">
        <f t="shared" si="372"/>
        <v>-</v>
      </c>
      <c r="J611">
        <f t="shared" si="372"/>
        <v>0.2386634844868733</v>
      </c>
      <c r="K611">
        <f t="shared" si="372"/>
        <v>0.23866348448687322</v>
      </c>
    </row>
    <row r="612" spans="2:11" x14ac:dyDescent="0.25">
      <c r="B612" s="5" t="str">
        <f t="shared" si="350"/>
        <v>SPS2</v>
      </c>
      <c r="C612" s="5" t="s">
        <v>7</v>
      </c>
      <c r="D612" s="2" t="s">
        <v>381</v>
      </c>
      <c r="E612" s="9" t="s">
        <v>8</v>
      </c>
      <c r="F612" s="3">
        <f>F613+F614+F619</f>
        <v>6.9574147917707538</v>
      </c>
      <c r="G612" s="3">
        <f t="shared" ref="G612" si="373">G613+G614+G619</f>
        <v>8.7456736266389346</v>
      </c>
      <c r="H612" s="3">
        <f t="shared" ref="H612" si="374">H613+H614+H619</f>
        <v>8.8807118722493179</v>
      </c>
      <c r="I612" s="3">
        <f t="shared" ref="I612" si="375">I613+I614+I619</f>
        <v>12.903096863312363</v>
      </c>
      <c r="J612" s="3">
        <f t="shared" ref="J612" si="376">J613+J614+J619</f>
        <v>14.963272055586959</v>
      </c>
      <c r="K612" s="3">
        <f t="shared" ref="K612" si="377">K613+K614+K619</f>
        <v>20.387983146095852</v>
      </c>
    </row>
    <row r="613" spans="2:11" x14ac:dyDescent="0.25">
      <c r="B613" s="5" t="str">
        <f t="shared" si="350"/>
        <v>SPS2</v>
      </c>
      <c r="C613" s="5" t="s">
        <v>7</v>
      </c>
      <c r="D613" t="s">
        <v>314</v>
      </c>
      <c r="E613" s="5" t="s">
        <v>8</v>
      </c>
      <c r="F613" s="1">
        <f>[1]Other_transformation!B$19</f>
        <v>1.3280026863431129</v>
      </c>
      <c r="G613" s="1">
        <f>[1]Other_transformation!C$19</f>
        <v>3.0381841286143341</v>
      </c>
      <c r="H613" s="1">
        <f>[1]Other_transformation!D$19</f>
        <v>3.582460999477703</v>
      </c>
      <c r="I613" s="1">
        <f>[1]Other_transformation!E$19</f>
        <v>5.9813585947065251</v>
      </c>
      <c r="J613" s="1">
        <f>[1]Other_transformation!F$19</f>
        <v>6.5541626074392028</v>
      </c>
      <c r="K613" s="1">
        <f>[1]Other_transformation!G$19</f>
        <v>9.4405588024012967</v>
      </c>
    </row>
    <row r="614" spans="2:11" x14ac:dyDescent="0.25">
      <c r="B614" s="5" t="str">
        <f t="shared" si="350"/>
        <v>SPS2</v>
      </c>
      <c r="C614" s="5" t="s">
        <v>7</v>
      </c>
      <c r="D614" t="s">
        <v>909</v>
      </c>
      <c r="E614" s="5" t="s">
        <v>8</v>
      </c>
      <c r="F614" s="1">
        <f>[1]Other_transformation!B$20</f>
        <v>5.6294121054276411</v>
      </c>
      <c r="G614" s="1">
        <f>[1]Other_transformation!C$20</f>
        <v>5.7072228590729432</v>
      </c>
      <c r="H614" s="1">
        <f>[1]Other_transformation!D$20</f>
        <v>5.2980597680584767</v>
      </c>
      <c r="I614" s="1">
        <f>[1]Other_transformation!E$20</f>
        <v>6.92114829865635</v>
      </c>
      <c r="J614" s="1">
        <f>[1]Other_transformation!F$20</f>
        <v>8.408215433733881</v>
      </c>
      <c r="K614" s="1">
        <f>[1]Other_transformation!G$20</f>
        <v>9.8448633256766271</v>
      </c>
    </row>
    <row r="615" spans="2:11" x14ac:dyDescent="0.25">
      <c r="B615" s="5" t="str">
        <f t="shared" si="350"/>
        <v>SPS2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5.6294121054276411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5.7072228590729432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5.2980597680584767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6.92114829865635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8.4074317448653364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9.84358752887319</v>
      </c>
    </row>
    <row r="616" spans="2:11" x14ac:dyDescent="0.25">
      <c r="B616" s="5" t="str">
        <f t="shared" si="350"/>
        <v>SPS2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tr">
        <f t="shared" si="350"/>
        <v>SPS2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6.4199674122559006E-4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7.552659990110723E-4</v>
      </c>
    </row>
    <row r="618" spans="2:11" x14ac:dyDescent="0.25">
      <c r="B618" s="5" t="str">
        <f t="shared" si="350"/>
        <v>SPS2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1.4169212731770413E-4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5.2053080442653629E-4</v>
      </c>
    </row>
    <row r="619" spans="2:11" x14ac:dyDescent="0.25">
      <c r="B619" s="5" t="str">
        <f t="shared" si="350"/>
        <v>SPS2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2.6663895165703684E-4</v>
      </c>
      <c r="H619" s="1">
        <f>[1]Other_transformation!D$21</f>
        <v>1.9110471313840173E-4</v>
      </c>
      <c r="I619" s="1">
        <f>[1]Other_transformation!E$21</f>
        <v>5.8996994948791947E-4</v>
      </c>
      <c r="J619" s="1">
        <f>[1]Other_transformation!F$21</f>
        <v>8.9401441387543506E-4</v>
      </c>
      <c r="K619" s="1">
        <f>[1]Other_transformation!G$21</f>
        <v>1.1025610180179277</v>
      </c>
    </row>
    <row r="620" spans="2:11" x14ac:dyDescent="0.25">
      <c r="B620" s="5" t="str">
        <f t="shared" si="350"/>
        <v>SPS2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2.6663895165703684E-4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1.9110471313840173E-4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5.8996994948791947E-4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4.6697580280440185E-4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1.0117270039549053E-2</v>
      </c>
    </row>
    <row r="621" spans="2:11" x14ac:dyDescent="0.25">
      <c r="B621" s="5" t="str">
        <f t="shared" si="350"/>
        <v>SPS2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4.2703861107103316E-4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1.0924437479783786</v>
      </c>
    </row>
    <row r="622" spans="2:11" x14ac:dyDescent="0.25">
      <c r="B622" s="5" t="str">
        <f t="shared" si="350"/>
        <v>SPS2</v>
      </c>
      <c r="C622" s="5" t="s">
        <v>7</v>
      </c>
      <c r="D622" s="2" t="s">
        <v>383</v>
      </c>
      <c r="E622" s="9" t="s">
        <v>8</v>
      </c>
      <c r="F622" s="3">
        <f>F623+F624+F629</f>
        <v>0.11258824210855271</v>
      </c>
      <c r="G622" s="3">
        <f t="shared" ref="G622" si="378">G623+G624+G629</f>
        <v>0.11415512273952524</v>
      </c>
      <c r="H622" s="3">
        <f t="shared" ref="H622" si="379">H623+H624+H629</f>
        <v>0.1059688395496951</v>
      </c>
      <c r="I622" s="3">
        <f t="shared" ref="I622" si="380">I623+I624+I629</f>
        <v>0.13844656477110651</v>
      </c>
      <c r="J622" s="3">
        <f t="shared" ref="J622" si="381">J623+J624+J629</f>
        <v>0.16818500435142664</v>
      </c>
      <c r="K622" s="3">
        <f t="shared" ref="K622" si="382">K623+K624+K629</f>
        <v>0.24097463387332888</v>
      </c>
    </row>
    <row r="623" spans="2:11" x14ac:dyDescent="0.25">
      <c r="B623" s="5" t="str">
        <f t="shared" si="350"/>
        <v>SPS2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tr">
        <f t="shared" si="350"/>
        <v>SPS2</v>
      </c>
      <c r="C624" s="5" t="s">
        <v>7</v>
      </c>
      <c r="D624" t="s">
        <v>330</v>
      </c>
      <c r="E624" s="5" t="s">
        <v>8</v>
      </c>
      <c r="F624" s="1">
        <f>SUM(F625:F628)</f>
        <v>0.11258824210855271</v>
      </c>
      <c r="G624" s="1">
        <f t="shared" ref="G624:K624" si="383">SUM(G625:G628)</f>
        <v>0.11414445718145896</v>
      </c>
      <c r="H624" s="1">
        <f t="shared" si="383"/>
        <v>0.10596119536116957</v>
      </c>
      <c r="I624" s="1">
        <f t="shared" si="383"/>
        <v>0.13842296597312698</v>
      </c>
      <c r="J624" s="1">
        <f t="shared" si="383"/>
        <v>0.16814863489730686</v>
      </c>
      <c r="K624" s="1">
        <f t="shared" si="383"/>
        <v>0.19687175057746376</v>
      </c>
    </row>
    <row r="625" spans="2:11" x14ac:dyDescent="0.25">
      <c r="B625" s="5" t="str">
        <f t="shared" si="350"/>
        <v>SPS2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0.11258824210855271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0.11414445718145896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0.10596119536116957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0.13842296597312698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0.16814863489730686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0.19687175057746376</v>
      </c>
    </row>
    <row r="626" spans="2:11" x14ac:dyDescent="0.25">
      <c r="B626" s="5" t="str">
        <f t="shared" si="350"/>
        <v>SPS2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tr">
        <f t="shared" si="350"/>
        <v>SPS2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tr">
        <f t="shared" ref="B628:B691" si="384">B627</f>
        <v>SPS2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tr">
        <f t="shared" si="384"/>
        <v>SPS2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5">SUM(G630:G631)</f>
        <v>1.066555806628149E-5</v>
      </c>
      <c r="H629" s="1">
        <f t="shared" si="385"/>
        <v>7.6441885255360789E-6</v>
      </c>
      <c r="I629" s="1">
        <f t="shared" si="385"/>
        <v>2.3598797979516832E-5</v>
      </c>
      <c r="J629" s="1">
        <f t="shared" si="385"/>
        <v>3.6369454119772043E-5</v>
      </c>
      <c r="K629" s="1">
        <f t="shared" si="385"/>
        <v>4.4102883295865127E-2</v>
      </c>
    </row>
    <row r="630" spans="2:11" x14ac:dyDescent="0.25">
      <c r="B630" s="5" t="str">
        <f t="shared" si="384"/>
        <v>SPS2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1.066555806628149E-5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7.6441885255360789E-6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2.3598797979516832E-5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1.8679032112176103E-5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4.0468356554594848E-4</v>
      </c>
    </row>
    <row r="631" spans="2:11" x14ac:dyDescent="0.25">
      <c r="B631" s="5" t="str">
        <f t="shared" si="384"/>
        <v>SPS2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1.769042200759594E-5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4.369819973031918E-2</v>
      </c>
    </row>
    <row r="632" spans="2:11" x14ac:dyDescent="0.25">
      <c r="B632" s="5" t="str">
        <f t="shared" si="384"/>
        <v>SPS2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6">G633+G634+G639</f>
        <v>3.1996674198844427E-5</v>
      </c>
      <c r="H632" s="3">
        <f t="shared" ref="H632" si="387">H633+H634+H639</f>
        <v>2.2932565576608225E-5</v>
      </c>
      <c r="I632" s="3">
        <f t="shared" ref="I632" si="388">I633+I634+I639</f>
        <v>7.0796393938550418E-5</v>
      </c>
      <c r="J632" s="3">
        <f t="shared" ref="J632" si="389">J633+J634+J639</f>
        <v>1.0816419852192442E-4</v>
      </c>
      <c r="K632" s="3">
        <f t="shared" ref="K632" si="390">K633+K634+K639</f>
        <v>0.13230793103971641</v>
      </c>
    </row>
    <row r="633" spans="2:11" x14ac:dyDescent="0.25">
      <c r="B633" s="5" t="str">
        <f t="shared" si="384"/>
        <v>SPS2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tr">
        <f t="shared" si="384"/>
        <v>SPS2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1">SUM(G635:G638)</f>
        <v>0</v>
      </c>
      <c r="H634" s="1">
        <f t="shared" ref="H634" si="392">SUM(H635:H638)</f>
        <v>0</v>
      </c>
      <c r="I634" s="1">
        <f t="shared" ref="I634" si="393">SUM(I635:I638)</f>
        <v>0</v>
      </c>
      <c r="J634" s="1">
        <f t="shared" ref="J634" si="394">SUM(J635:J638)</f>
        <v>0</v>
      </c>
      <c r="K634" s="1">
        <f t="shared" ref="K634" si="395">SUM(K635:K638)</f>
        <v>0</v>
      </c>
    </row>
    <row r="635" spans="2:11" x14ac:dyDescent="0.25">
      <c r="B635" s="5" t="str">
        <f t="shared" si="384"/>
        <v>SPS2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tr">
        <f t="shared" si="384"/>
        <v>SPS2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tr">
        <f t="shared" si="384"/>
        <v>SPS2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tr">
        <f t="shared" si="384"/>
        <v>SPS2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tr">
        <f t="shared" si="384"/>
        <v>SPS2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6">SUM(G640:G641)</f>
        <v>3.1996674198844427E-5</v>
      </c>
      <c r="H639" s="1">
        <f t="shared" ref="H639" si="397">SUM(H640:H641)</f>
        <v>2.2932565576608225E-5</v>
      </c>
      <c r="I639" s="1">
        <f t="shared" ref="I639" si="398">SUM(I640:I641)</f>
        <v>7.0796393938550418E-5</v>
      </c>
      <c r="J639" s="1">
        <f t="shared" ref="J639" si="399">SUM(J640:J641)</f>
        <v>1.0816419852192442E-4</v>
      </c>
      <c r="K639" s="1">
        <f t="shared" ref="K639" si="400">SUM(K640:K641)</f>
        <v>0.13230793103971641</v>
      </c>
    </row>
    <row r="640" spans="2:11" x14ac:dyDescent="0.25">
      <c r="B640" s="5" t="str">
        <f t="shared" si="384"/>
        <v>SPS2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3.1996674198844427E-5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2.2932565576608225E-5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7.0796393938550418E-5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5.6037096336528346E-5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1.2140724047458877E-3</v>
      </c>
    </row>
    <row r="641" spans="2:11" x14ac:dyDescent="0.25">
      <c r="B641" s="5" t="str">
        <f t="shared" si="384"/>
        <v>SPS2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5.2127102185396074E-5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0.13109385863497053</v>
      </c>
    </row>
    <row r="642" spans="2:11" x14ac:dyDescent="0.25">
      <c r="B642" s="5" t="str">
        <f t="shared" si="384"/>
        <v>SPS2</v>
      </c>
      <c r="C642" s="5" t="s">
        <v>7</v>
      </c>
      <c r="D642" s="2" t="s">
        <v>387</v>
      </c>
      <c r="E642" s="9" t="s">
        <v>8</v>
      </c>
      <c r="F642" s="3">
        <f>F643+F644+F649</f>
        <v>13.477459697359444</v>
      </c>
      <c r="G642" s="3">
        <f t="shared" ref="G642" si="401">G643+G644+G649</f>
        <v>18.502728617822005</v>
      </c>
      <c r="H642" s="3">
        <f t="shared" ref="H642" si="402">H643+H644+H649</f>
        <v>19.355731788204928</v>
      </c>
      <c r="I642" s="3">
        <f t="shared" ref="I642" si="403">I643+I644+I649</f>
        <v>29.007902172096433</v>
      </c>
      <c r="J642" s="3">
        <f t="shared" ref="J642" si="404">J643+J644+J649</f>
        <v>33.203292715079833</v>
      </c>
      <c r="K642" s="3">
        <f t="shared" ref="K642" si="405">K643+K644+K649</f>
        <v>45.576592791576921</v>
      </c>
    </row>
    <row r="643" spans="2:11" x14ac:dyDescent="0.25">
      <c r="B643" s="5" t="str">
        <f t="shared" si="384"/>
        <v>SPS2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3.7980876829412948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8.6892066078369901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10.245838458506215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17.106685580860646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18.7449050572761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26.999998174867684</v>
      </c>
    </row>
    <row r="644" spans="2:11" x14ac:dyDescent="0.25">
      <c r="B644" s="5" t="str">
        <f t="shared" si="384"/>
        <v>SPS2</v>
      </c>
      <c r="C644" s="5" t="s">
        <v>7</v>
      </c>
      <c r="D644" t="s">
        <v>914</v>
      </c>
      <c r="E644" s="5" t="s">
        <v>8</v>
      </c>
      <c r="F644" s="1">
        <f>SUM(F645:F648)</f>
        <v>9.6793720144181492</v>
      </c>
      <c r="G644" s="1">
        <f t="shared" ref="G644" si="406">SUM(G645:G648)</f>
        <v>9.8131620474002759</v>
      </c>
      <c r="H644" s="1">
        <f t="shared" ref="H644" si="407">SUM(H645:H648)</f>
        <v>9.1096353383359769</v>
      </c>
      <c r="I644" s="1">
        <f t="shared" ref="I644" si="408">SUM(I645:I648)</f>
        <v>11.90042013180398</v>
      </c>
      <c r="J644" s="1">
        <f t="shared" ref="J644" si="409">SUM(J645:J648)</f>
        <v>14.457120400797383</v>
      </c>
      <c r="K644" s="1">
        <f t="shared" ref="K644" si="410">SUM(K645:K648)</f>
        <v>16.927250833301777</v>
      </c>
    </row>
    <row r="645" spans="2:11" x14ac:dyDescent="0.25">
      <c r="B645" s="5" t="str">
        <f t="shared" si="384"/>
        <v>SPS2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9.6793720144181492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9.8131620474002759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9.1096353383359769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11.90042013180398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14.455978354457031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16.925345642502513</v>
      </c>
    </row>
    <row r="646" spans="2:11" x14ac:dyDescent="0.25">
      <c r="B646" s="5" t="str">
        <f t="shared" si="384"/>
        <v>SPS2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tr">
        <f t="shared" si="384"/>
        <v>SPS2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9.1713820175084299E-4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1.0789514271586735E-3</v>
      </c>
    </row>
    <row r="648" spans="2:11" x14ac:dyDescent="0.25">
      <c r="B648" s="5" t="str">
        <f t="shared" si="384"/>
        <v>SPS2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2.2490813859953035E-4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8.2623937210561291E-4</v>
      </c>
    </row>
    <row r="649" spans="2:11" x14ac:dyDescent="0.25">
      <c r="B649" s="5" t="str">
        <f t="shared" si="384"/>
        <v>SPS2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1">SUM(G650:G651)</f>
        <v>3.5996258473700005E-4</v>
      </c>
      <c r="H649" s="1">
        <f t="shared" ref="H649" si="412">SUM(H650:H651)</f>
        <v>2.5799136273684247E-4</v>
      </c>
      <c r="I649" s="1">
        <f t="shared" ref="I649" si="413">SUM(I650:I651)</f>
        <v>7.9645943180869157E-4</v>
      </c>
      <c r="J649" s="1">
        <f t="shared" ref="J649" si="414">SUM(J650:J651)</f>
        <v>1.2672570063513491E-3</v>
      </c>
      <c r="K649" s="1">
        <f t="shared" ref="K649" si="415">SUM(K650:K651)</f>
        <v>1.649343783407458</v>
      </c>
    </row>
    <row r="650" spans="2:11" x14ac:dyDescent="0.25">
      <c r="B650" s="5" t="str">
        <f t="shared" si="384"/>
        <v>SPS2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3.5996258473700005E-4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2.5799136273684247E-4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7.9645943180869157E-4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6.3041733378594298E-4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1.3658314553391235E-2</v>
      </c>
    </row>
    <row r="651" spans="2:11" x14ac:dyDescent="0.25">
      <c r="B651" s="5" t="str">
        <f t="shared" si="384"/>
        <v>SPS2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6.3683967256540619E-4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1.6356854688540667</v>
      </c>
    </row>
    <row r="652" spans="2:11" x14ac:dyDescent="0.25">
      <c r="B652" s="5" t="str">
        <f t="shared" si="384"/>
        <v>SPS2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tr">
        <f t="shared" si="384"/>
        <v>SPS2</v>
      </c>
      <c r="C653" s="5" t="s">
        <v>7</v>
      </c>
      <c r="D653" t="s">
        <v>351</v>
      </c>
      <c r="E653" s="5" t="s">
        <v>8</v>
      </c>
      <c r="F653" s="4">
        <f t="shared" ref="F653:K653" si="416">IFERROR(SUM(F633,F623,F613)/F643,"-")</f>
        <v>0.34965034965035041</v>
      </c>
      <c r="G653" s="4">
        <f t="shared" si="416"/>
        <v>0.34965034965034986</v>
      </c>
      <c r="H653" s="4">
        <f t="shared" si="416"/>
        <v>0.34965034965035019</v>
      </c>
      <c r="I653" s="4">
        <f t="shared" si="416"/>
        <v>0.34965034965034997</v>
      </c>
      <c r="J653" s="4">
        <f t="shared" si="416"/>
        <v>0.34965034965035002</v>
      </c>
      <c r="K653" s="4">
        <f t="shared" si="416"/>
        <v>0.34965034965034997</v>
      </c>
    </row>
    <row r="654" spans="2:11" x14ac:dyDescent="0.25">
      <c r="B654" s="5" t="str">
        <f t="shared" si="384"/>
        <v>SPS2</v>
      </c>
      <c r="C654" s="5" t="s">
        <v>7</v>
      </c>
      <c r="D654" t="s">
        <v>352</v>
      </c>
      <c r="E654" s="5" t="s">
        <v>8</v>
      </c>
      <c r="F654" s="4">
        <f t="shared" ref="F654:K657" si="417">IFERROR(SUM(F635,F625,F615)/F645,"-")</f>
        <v>0.59322033898305115</v>
      </c>
      <c r="G654" s="4">
        <f t="shared" si="417"/>
        <v>0.59322033898305104</v>
      </c>
      <c r="H654" s="4">
        <f t="shared" si="417"/>
        <v>0.59322033898305071</v>
      </c>
      <c r="I654" s="4">
        <f t="shared" si="417"/>
        <v>0.5932203389830506</v>
      </c>
      <c r="J654" s="4">
        <f t="shared" si="417"/>
        <v>0.59322033898305071</v>
      </c>
      <c r="K654" s="4">
        <f t="shared" si="417"/>
        <v>0.59322033898305138</v>
      </c>
    </row>
    <row r="655" spans="2:11" x14ac:dyDescent="0.25">
      <c r="B655" s="5" t="str">
        <f t="shared" si="384"/>
        <v>SPS2</v>
      </c>
      <c r="C655" s="5" t="s">
        <v>7</v>
      </c>
      <c r="D655" t="s">
        <v>353</v>
      </c>
      <c r="E655" s="5" t="s">
        <v>8</v>
      </c>
      <c r="F655" s="4" t="str">
        <f t="shared" si="417"/>
        <v>-</v>
      </c>
      <c r="G655" s="4" t="str">
        <f t="shared" si="417"/>
        <v>-</v>
      </c>
      <c r="H655" s="4" t="str">
        <f t="shared" si="417"/>
        <v>-</v>
      </c>
      <c r="I655" s="4" t="str">
        <f t="shared" si="417"/>
        <v>-</v>
      </c>
      <c r="J655" s="4" t="str">
        <f t="shared" si="417"/>
        <v>-</v>
      </c>
      <c r="K655" s="4" t="str">
        <f t="shared" si="417"/>
        <v>-</v>
      </c>
    </row>
    <row r="656" spans="2:11" x14ac:dyDescent="0.25">
      <c r="B656" s="5" t="str">
        <f t="shared" si="384"/>
        <v>SPS2</v>
      </c>
      <c r="C656" s="5" t="s">
        <v>7</v>
      </c>
      <c r="D656" t="s">
        <v>354</v>
      </c>
      <c r="E656" s="5" t="s">
        <v>8</v>
      </c>
      <c r="F656" s="4" t="str">
        <f t="shared" si="417"/>
        <v>-</v>
      </c>
      <c r="G656" s="4" t="str">
        <f t="shared" si="417"/>
        <v>-</v>
      </c>
      <c r="H656" s="4" t="str">
        <f t="shared" si="417"/>
        <v>-</v>
      </c>
      <c r="I656" s="4" t="str">
        <f t="shared" si="417"/>
        <v>-</v>
      </c>
      <c r="J656" s="4">
        <f t="shared" si="417"/>
        <v>0.7</v>
      </c>
      <c r="K656" s="4">
        <f t="shared" si="417"/>
        <v>0.70000000000000073</v>
      </c>
    </row>
    <row r="657" spans="2:11" x14ac:dyDescent="0.25">
      <c r="B657" s="5" t="str">
        <f t="shared" si="384"/>
        <v>SPS2</v>
      </c>
      <c r="C657" s="5" t="s">
        <v>7</v>
      </c>
      <c r="D657" t="s">
        <v>355</v>
      </c>
      <c r="E657" s="5" t="s">
        <v>8</v>
      </c>
      <c r="F657" s="4" t="str">
        <f t="shared" si="417"/>
        <v>-</v>
      </c>
      <c r="G657" s="4" t="str">
        <f t="shared" si="417"/>
        <v>-</v>
      </c>
      <c r="H657" s="4" t="str">
        <f t="shared" si="417"/>
        <v>-</v>
      </c>
      <c r="I657" s="4" t="str">
        <f t="shared" si="417"/>
        <v>-</v>
      </c>
      <c r="J657" s="4">
        <f t="shared" si="417"/>
        <v>0.63</v>
      </c>
      <c r="K657" s="4">
        <f t="shared" si="417"/>
        <v>0.63000000000000023</v>
      </c>
    </row>
    <row r="658" spans="2:11" x14ac:dyDescent="0.25">
      <c r="B658" s="5" t="str">
        <f t="shared" si="384"/>
        <v>SPS2</v>
      </c>
      <c r="C658" s="5" t="s">
        <v>7</v>
      </c>
      <c r="D658" t="s">
        <v>356</v>
      </c>
      <c r="E658" s="5" t="s">
        <v>8</v>
      </c>
      <c r="F658" s="4" t="str">
        <f t="shared" ref="F658:K659" si="418">IFERROR(SUM(F640,F630,F620)/F650,"-")</f>
        <v>-</v>
      </c>
      <c r="G658" s="4">
        <f t="shared" si="418"/>
        <v>0.85925925925925861</v>
      </c>
      <c r="H658" s="4">
        <f t="shared" si="418"/>
        <v>0.85925925925925895</v>
      </c>
      <c r="I658" s="4">
        <f t="shared" si="418"/>
        <v>0.85925925925925906</v>
      </c>
      <c r="J658" s="4">
        <f t="shared" si="418"/>
        <v>0.85925925925925883</v>
      </c>
      <c r="K658" s="4">
        <f t="shared" si="418"/>
        <v>0.85925872946943815</v>
      </c>
    </row>
    <row r="659" spans="2:11" x14ac:dyDescent="0.25">
      <c r="B659" s="5" t="str">
        <f t="shared" si="384"/>
        <v>SPS2</v>
      </c>
      <c r="C659" s="5" t="s">
        <v>7</v>
      </c>
      <c r="D659" t="s">
        <v>357</v>
      </c>
      <c r="E659" s="5" t="s">
        <v>8</v>
      </c>
      <c r="F659" s="4" t="str">
        <f t="shared" si="418"/>
        <v>-</v>
      </c>
      <c r="G659" s="4" t="str">
        <f t="shared" si="418"/>
        <v>-</v>
      </c>
      <c r="H659" s="4" t="str">
        <f t="shared" si="418"/>
        <v>-</v>
      </c>
      <c r="I659" s="4" t="str">
        <f t="shared" si="418"/>
        <v>-</v>
      </c>
      <c r="J659" s="4">
        <f t="shared" si="418"/>
        <v>0.78019030011512969</v>
      </c>
      <c r="K659" s="4">
        <f t="shared" si="418"/>
        <v>0.77474296279679744</v>
      </c>
    </row>
    <row r="660" spans="2:11" x14ac:dyDescent="0.25">
      <c r="B660" s="9" t="str">
        <f t="shared" si="384"/>
        <v>SPS2</v>
      </c>
      <c r="C660" s="9" t="s">
        <v>7</v>
      </c>
      <c r="D660" s="2" t="s">
        <v>390</v>
      </c>
      <c r="E660" s="9" t="s">
        <v>8</v>
      </c>
      <c r="F660" s="3">
        <f>SUM(F661,F665,F674)</f>
        <v>2.907397355900598E-3</v>
      </c>
      <c r="G660" s="3">
        <f t="shared" ref="G660:K660" si="419">SUM(G661,G665,G674)</f>
        <v>1.7190969465676931E-2</v>
      </c>
      <c r="H660" s="3">
        <f t="shared" si="419"/>
        <v>6.3177343626598284E-2</v>
      </c>
      <c r="I660" s="3">
        <f t="shared" si="419"/>
        <v>22.817383059626792</v>
      </c>
      <c r="J660" s="3">
        <f t="shared" si="419"/>
        <v>30.663085293376007</v>
      </c>
      <c r="K660" s="3">
        <f t="shared" si="419"/>
        <v>68.230635231806787</v>
      </c>
    </row>
    <row r="661" spans="2:11" x14ac:dyDescent="0.25">
      <c r="B661" t="str">
        <f t="shared" si="384"/>
        <v>SPS2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2.907397355900598E-3</v>
      </c>
      <c r="G661" s="1">
        <f>[1]Other_transformation!C$28</f>
        <v>1.7190969465676931E-2</v>
      </c>
      <c r="H661" s="1">
        <f>[1]Other_transformation!D$28</f>
        <v>6.3177343626598284E-2</v>
      </c>
      <c r="I661" s="1">
        <f>[1]Other_transformation!E$28</f>
        <v>22.817069799859755</v>
      </c>
      <c r="J661" s="1">
        <f>[1]Other_transformation!F$28</f>
        <v>26.258823490733466</v>
      </c>
      <c r="K661" s="1">
        <f>[1]Other_transformation!G$28</f>
        <v>62.297795370064719</v>
      </c>
    </row>
    <row r="662" spans="2:11" x14ac:dyDescent="0.25">
      <c r="B662" t="str">
        <f t="shared" si="384"/>
        <v>SPS2</v>
      </c>
      <c r="C662" t="str">
        <f t="shared" ref="C662:C673" si="420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2.907397355900598E-3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1.7190969465676931E-2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6.3177343626598284E-2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15.191151038511899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15.496127709738477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28.716185095850225</v>
      </c>
    </row>
    <row r="663" spans="2:11" x14ac:dyDescent="0.25">
      <c r="B663" t="str">
        <f t="shared" si="384"/>
        <v>SPS2</v>
      </c>
      <c r="C663" t="str">
        <f t="shared" ref="C663" si="421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7.6259187613478563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10.751539721993518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33.571229893376078</v>
      </c>
    </row>
    <row r="664" spans="2:11" x14ac:dyDescent="0.25">
      <c r="B664" t="str">
        <f t="shared" si="384"/>
        <v>SPS2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1.1156059001469935E-2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1.0380380838412747E-2</v>
      </c>
    </row>
    <row r="665" spans="2:11" x14ac:dyDescent="0.25">
      <c r="B665" t="str">
        <f t="shared" si="384"/>
        <v>SPS2</v>
      </c>
      <c r="C665" t="str">
        <f t="shared" si="420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3.8906767793480741E-4</v>
      </c>
    </row>
    <row r="666" spans="2:11" x14ac:dyDescent="0.25">
      <c r="B666" t="str">
        <f t="shared" si="384"/>
        <v>SPS2</v>
      </c>
      <c r="C666" t="str">
        <f t="shared" si="420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8.7997160587583194E-5</v>
      </c>
    </row>
    <row r="667" spans="2:11" x14ac:dyDescent="0.25">
      <c r="B667" t="str">
        <f t="shared" si="384"/>
        <v>SPS2</v>
      </c>
      <c r="C667" t="str">
        <f t="shared" si="420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3.0107051734722421E-4</v>
      </c>
    </row>
    <row r="668" spans="2:11" x14ac:dyDescent="0.25">
      <c r="B668" t="str">
        <f t="shared" si="384"/>
        <v>SPS2</v>
      </c>
      <c r="C668" t="str">
        <f t="shared" si="420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2">G665-G671</f>
        <v>0</v>
      </c>
      <c r="H668" s="1">
        <f t="shared" si="422"/>
        <v>0</v>
      </c>
      <c r="I668" s="1">
        <f t="shared" si="422"/>
        <v>0</v>
      </c>
      <c r="J668" s="1">
        <f t="shared" si="422"/>
        <v>0</v>
      </c>
      <c r="K668" s="1">
        <f t="shared" si="422"/>
        <v>0</v>
      </c>
    </row>
    <row r="669" spans="2:11" x14ac:dyDescent="0.25">
      <c r="B669" t="str">
        <f t="shared" si="384"/>
        <v>SPS2</v>
      </c>
      <c r="C669" t="str">
        <f t="shared" si="420"/>
        <v>CH</v>
      </c>
      <c r="D669" t="s">
        <v>607</v>
      </c>
      <c r="E669" s="5" t="s">
        <v>8</v>
      </c>
      <c r="F669" s="1">
        <f t="shared" ref="F669:K669" si="423">F666-F672</f>
        <v>0</v>
      </c>
      <c r="G669" s="1">
        <f t="shared" si="423"/>
        <v>0</v>
      </c>
      <c r="H669" s="1">
        <f t="shared" si="423"/>
        <v>0</v>
      </c>
      <c r="I669" s="1">
        <f t="shared" si="423"/>
        <v>0</v>
      </c>
      <c r="J669" s="1">
        <f t="shared" si="423"/>
        <v>0</v>
      </c>
      <c r="K669" s="1">
        <f t="shared" si="423"/>
        <v>0</v>
      </c>
    </row>
    <row r="670" spans="2:11" x14ac:dyDescent="0.25">
      <c r="B670" t="str">
        <f t="shared" si="384"/>
        <v>SPS2</v>
      </c>
      <c r="C670" t="str">
        <f t="shared" si="420"/>
        <v>CH</v>
      </c>
      <c r="D670" t="s">
        <v>608</v>
      </c>
      <c r="E670" s="5" t="s">
        <v>8</v>
      </c>
      <c r="F670" s="1">
        <f t="shared" ref="F670:K670" si="424">F667-F673</f>
        <v>0</v>
      </c>
      <c r="G670" s="1">
        <f t="shared" si="424"/>
        <v>0</v>
      </c>
      <c r="H670" s="1">
        <f t="shared" si="424"/>
        <v>0</v>
      </c>
      <c r="I670" s="1">
        <f t="shared" si="424"/>
        <v>0</v>
      </c>
      <c r="J670" s="1">
        <f t="shared" si="424"/>
        <v>0</v>
      </c>
      <c r="K670" s="1">
        <f t="shared" si="424"/>
        <v>0</v>
      </c>
    </row>
    <row r="671" spans="2:11" x14ac:dyDescent="0.25">
      <c r="B671" t="str">
        <f t="shared" si="384"/>
        <v>SPS2</v>
      </c>
      <c r="C671" t="str">
        <f t="shared" si="420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5">SUM(G672:G673)</f>
        <v>0</v>
      </c>
      <c r="H671" s="1">
        <f t="shared" si="425"/>
        <v>0</v>
      </c>
      <c r="I671" s="1">
        <f t="shared" si="425"/>
        <v>0</v>
      </c>
      <c r="J671" s="1">
        <f t="shared" si="425"/>
        <v>0</v>
      </c>
      <c r="K671" s="1">
        <f t="shared" si="425"/>
        <v>3.8906767793480741E-4</v>
      </c>
    </row>
    <row r="672" spans="2:11" x14ac:dyDescent="0.25">
      <c r="B672" t="str">
        <f t="shared" si="384"/>
        <v>SPS2</v>
      </c>
      <c r="C672" t="str">
        <f t="shared" si="420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8.7997160587583194E-5</v>
      </c>
    </row>
    <row r="673" spans="2:11" x14ac:dyDescent="0.25">
      <c r="B673" t="str">
        <f t="shared" si="384"/>
        <v>SPS2</v>
      </c>
      <c r="C673" t="str">
        <f t="shared" si="420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3.0107051734722421E-4</v>
      </c>
    </row>
    <row r="674" spans="2:11" x14ac:dyDescent="0.25">
      <c r="B674" t="str">
        <f t="shared" si="384"/>
        <v>SPS2</v>
      </c>
      <c r="C674" t="str">
        <f t="shared" ref="C674:C676" si="426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27">SUM(G675:G676)</f>
        <v>0</v>
      </c>
      <c r="H674" s="1">
        <f t="shared" si="427"/>
        <v>0</v>
      </c>
      <c r="I674" s="1">
        <f t="shared" si="427"/>
        <v>3.1325976703681306E-4</v>
      </c>
      <c r="J674" s="1">
        <f t="shared" si="427"/>
        <v>4.4042618026425426</v>
      </c>
      <c r="K674" s="1">
        <f t="shared" si="427"/>
        <v>5.9324507940641338</v>
      </c>
    </row>
    <row r="675" spans="2:11" x14ac:dyDescent="0.25">
      <c r="B675" t="str">
        <f t="shared" si="384"/>
        <v>SPS2</v>
      </c>
      <c r="C675" t="str">
        <f t="shared" si="426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3.1325976703681306E-4</v>
      </c>
      <c r="J675" s="1">
        <f>[1]Other_transformation!F31</f>
        <v>4.4042618026425426</v>
      </c>
      <c r="K675" s="1">
        <f>[1]Other_transformation!G31</f>
        <v>2.8380902769320926E-2</v>
      </c>
    </row>
    <row r="676" spans="2:11" x14ac:dyDescent="0.25">
      <c r="B676" t="str">
        <f t="shared" si="384"/>
        <v>SPS2</v>
      </c>
      <c r="C676" t="str">
        <f t="shared" si="426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5.9040698912948129</v>
      </c>
    </row>
    <row r="677" spans="2:11" x14ac:dyDescent="0.25">
      <c r="B677" s="9" t="str">
        <f t="shared" si="384"/>
        <v>SPS2</v>
      </c>
      <c r="C677" s="9" t="s">
        <v>7</v>
      </c>
      <c r="D677" s="2" t="s">
        <v>406</v>
      </c>
      <c r="E677" s="9" t="s">
        <v>8</v>
      </c>
      <c r="F677" s="3">
        <f>SUM(F678,F682,F684,F693)</f>
        <v>4.244375702044661E-3</v>
      </c>
      <c r="G677" s="3">
        <f t="shared" ref="G677:K677" si="428">SUM(G678,G682,G684,G693)</f>
        <v>2.477084937417421E-2</v>
      </c>
      <c r="H677" s="3">
        <f t="shared" si="428"/>
        <v>8.929659876550998E-2</v>
      </c>
      <c r="I677" s="3">
        <f t="shared" si="428"/>
        <v>31.25678209941961</v>
      </c>
      <c r="J677" s="3">
        <f t="shared" si="428"/>
        <v>41.221217370489498</v>
      </c>
      <c r="K677" s="3">
        <f t="shared" si="428"/>
        <v>86.199080409966726</v>
      </c>
    </row>
    <row r="678" spans="2:11" x14ac:dyDescent="0.25">
      <c r="B678" t="str">
        <f t="shared" si="384"/>
        <v>SPS2</v>
      </c>
      <c r="C678" t="str">
        <f>C677</f>
        <v>CH</v>
      </c>
      <c r="D678" t="s">
        <v>921</v>
      </c>
      <c r="E678" s="5" t="s">
        <v>8</v>
      </c>
      <c r="F678" s="1">
        <f>SUM(F679:F681)</f>
        <v>4.244375702044661E-3</v>
      </c>
      <c r="G678" s="1">
        <f t="shared" ref="G678:K678" si="429">SUM(G679:G681)</f>
        <v>2.477084937417421E-2</v>
      </c>
      <c r="H678" s="1">
        <f t="shared" si="429"/>
        <v>8.929659876550998E-2</v>
      </c>
      <c r="I678" s="1">
        <f t="shared" si="429"/>
        <v>31.256259999807881</v>
      </c>
      <c r="J678" s="1">
        <f t="shared" si="429"/>
        <v>33.879114035429865</v>
      </c>
      <c r="K678" s="1">
        <f t="shared" si="429"/>
        <v>75.970642562821737</v>
      </c>
    </row>
    <row r="679" spans="2:11" x14ac:dyDescent="0.25">
      <c r="B679" t="str">
        <f t="shared" si="384"/>
        <v>SPS2</v>
      </c>
      <c r="C679" t="str">
        <f t="shared" ref="C679:C695" si="430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4.244375702044661E-3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2.477084937417421E-2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8.929659876550998E-2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20.809795943166989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19.995003496436766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35.019737921768595</v>
      </c>
    </row>
    <row r="680" spans="2:11" x14ac:dyDescent="0.25">
      <c r="B680" t="str">
        <f t="shared" si="384"/>
        <v>SPS2</v>
      </c>
      <c r="C680" t="str">
        <f t="shared" ref="C680" si="431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10.44646405664089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13.872954479991629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40.940524260214737</v>
      </c>
    </row>
    <row r="681" spans="2:11" x14ac:dyDescent="0.25">
      <c r="B681" t="str">
        <f t="shared" si="384"/>
        <v>SPS2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1.1156059001469935E-2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1.0380380838412747E-2</v>
      </c>
    </row>
    <row r="682" spans="2:11" x14ac:dyDescent="0.25">
      <c r="B682" t="str">
        <f t="shared" si="384"/>
        <v>SPS2</v>
      </c>
      <c r="C682" t="str">
        <f t="shared" ref="C682:C683" si="432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33">G683</f>
        <v>0</v>
      </c>
      <c r="H682" s="1">
        <f t="shared" si="433"/>
        <v>0</v>
      </c>
      <c r="I682" s="1">
        <f t="shared" si="433"/>
        <v>0</v>
      </c>
      <c r="J682" s="1">
        <f t="shared" si="433"/>
        <v>1.6669973220587288E-3</v>
      </c>
      <c r="K682" s="1">
        <f t="shared" si="433"/>
        <v>1.1533756487125265E-3</v>
      </c>
    </row>
    <row r="683" spans="2:11" x14ac:dyDescent="0.25">
      <c r="B683" t="str">
        <f t="shared" si="384"/>
        <v>SPS2</v>
      </c>
      <c r="C683" t="str">
        <f t="shared" si="432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1.6669973220587288E-3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1.1533756487125265E-3</v>
      </c>
    </row>
    <row r="684" spans="2:11" x14ac:dyDescent="0.25">
      <c r="B684" t="str">
        <f t="shared" si="384"/>
        <v>SPS2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34">SUM(G685:G686)</f>
        <v>0</v>
      </c>
      <c r="H684" s="1">
        <f t="shared" si="434"/>
        <v>0</v>
      </c>
      <c r="I684" s="1">
        <f t="shared" si="434"/>
        <v>0</v>
      </c>
      <c r="J684" s="1">
        <f t="shared" si="434"/>
        <v>0</v>
      </c>
      <c r="K684" s="1">
        <f t="shared" si="434"/>
        <v>5.5211982072715974E-4</v>
      </c>
    </row>
    <row r="685" spans="2:11" x14ac:dyDescent="0.25">
      <c r="B685" t="str">
        <f t="shared" si="384"/>
        <v>SPS2</v>
      </c>
      <c r="C685" t="str">
        <f t="shared" si="430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1.1578573761524107E-4</v>
      </c>
    </row>
    <row r="686" spans="2:11" x14ac:dyDescent="0.25">
      <c r="B686" t="str">
        <f t="shared" si="384"/>
        <v>SPS2</v>
      </c>
      <c r="C686" t="str">
        <f t="shared" si="430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4.3633408311191869E-4</v>
      </c>
    </row>
    <row r="687" spans="2:11" x14ac:dyDescent="0.25">
      <c r="B687" t="str">
        <f t="shared" si="384"/>
        <v>SPS2</v>
      </c>
      <c r="C687" t="str">
        <f t="shared" si="430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35">G684-G690</f>
        <v>0</v>
      </c>
      <c r="H687" s="1">
        <f t="shared" si="435"/>
        <v>0</v>
      </c>
      <c r="I687" s="1">
        <f t="shared" si="435"/>
        <v>0</v>
      </c>
      <c r="J687" s="1">
        <f t="shared" si="435"/>
        <v>0</v>
      </c>
      <c r="K687" s="1">
        <f t="shared" si="435"/>
        <v>0</v>
      </c>
    </row>
    <row r="688" spans="2:11" x14ac:dyDescent="0.25">
      <c r="B688" t="str">
        <f t="shared" si="384"/>
        <v>SPS2</v>
      </c>
      <c r="C688" t="str">
        <f t="shared" si="430"/>
        <v>CH</v>
      </c>
      <c r="D688" t="s">
        <v>609</v>
      </c>
      <c r="E688" s="5" t="s">
        <v>8</v>
      </c>
      <c r="F688" s="1">
        <f t="shared" ref="F688:K688" si="436">F685-F691</f>
        <v>0</v>
      </c>
      <c r="G688" s="1">
        <f t="shared" si="436"/>
        <v>0</v>
      </c>
      <c r="H688" s="1">
        <f t="shared" si="436"/>
        <v>0</v>
      </c>
      <c r="I688" s="1">
        <f t="shared" si="436"/>
        <v>0</v>
      </c>
      <c r="J688" s="1">
        <f t="shared" si="436"/>
        <v>0</v>
      </c>
      <c r="K688" s="1">
        <f t="shared" si="436"/>
        <v>0</v>
      </c>
    </row>
    <row r="689" spans="2:11" x14ac:dyDescent="0.25">
      <c r="B689" t="str">
        <f t="shared" si="384"/>
        <v>SPS2</v>
      </c>
      <c r="C689" t="str">
        <f t="shared" si="430"/>
        <v>CH</v>
      </c>
      <c r="D689" t="s">
        <v>610</v>
      </c>
      <c r="E689" s="5" t="s">
        <v>8</v>
      </c>
      <c r="F689" s="1">
        <f t="shared" ref="F689:K689" si="437">F686-F692</f>
        <v>0</v>
      </c>
      <c r="G689" s="1">
        <f t="shared" si="437"/>
        <v>0</v>
      </c>
      <c r="H689" s="1">
        <f t="shared" si="437"/>
        <v>0</v>
      </c>
      <c r="I689" s="1">
        <f t="shared" si="437"/>
        <v>0</v>
      </c>
      <c r="J689" s="1">
        <f t="shared" si="437"/>
        <v>0</v>
      </c>
      <c r="K689" s="1">
        <f t="shared" si="437"/>
        <v>0</v>
      </c>
    </row>
    <row r="690" spans="2:11" x14ac:dyDescent="0.25">
      <c r="B690" t="str">
        <f t="shared" si="384"/>
        <v>SPS2</v>
      </c>
      <c r="C690" t="str">
        <f t="shared" si="430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38">SUM(G691:G692)</f>
        <v>0</v>
      </c>
      <c r="H690" s="1">
        <f t="shared" si="438"/>
        <v>0</v>
      </c>
      <c r="I690" s="1">
        <f t="shared" si="438"/>
        <v>0</v>
      </c>
      <c r="J690" s="1">
        <f t="shared" si="438"/>
        <v>0</v>
      </c>
      <c r="K690" s="1">
        <f t="shared" si="438"/>
        <v>5.5211982072715974E-4</v>
      </c>
    </row>
    <row r="691" spans="2:11" x14ac:dyDescent="0.25">
      <c r="B691" t="str">
        <f t="shared" si="384"/>
        <v>SPS2</v>
      </c>
      <c r="C691" t="str">
        <f t="shared" si="430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39">IFERROR(G672/G666,0)*G685</f>
        <v>0</v>
      </c>
      <c r="H691" s="1">
        <f t="shared" si="439"/>
        <v>0</v>
      </c>
      <c r="I691" s="1">
        <f t="shared" si="439"/>
        <v>0</v>
      </c>
      <c r="J691" s="1">
        <f t="shared" si="439"/>
        <v>0</v>
      </c>
      <c r="K691" s="1">
        <f t="shared" si="439"/>
        <v>1.1578573761524107E-4</v>
      </c>
    </row>
    <row r="692" spans="2:11" x14ac:dyDescent="0.25">
      <c r="B692" t="str">
        <f t="shared" ref="B692:B755" si="440">B691</f>
        <v>SPS2</v>
      </c>
      <c r="C692" t="str">
        <f t="shared" si="430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39"/>
        <v>0</v>
      </c>
      <c r="H692" s="1">
        <f t="shared" si="439"/>
        <v>0</v>
      </c>
      <c r="I692" s="1">
        <f t="shared" si="439"/>
        <v>0</v>
      </c>
      <c r="J692" s="1">
        <f t="shared" si="439"/>
        <v>0</v>
      </c>
      <c r="K692" s="1">
        <f t="shared" si="439"/>
        <v>4.3633408311191869E-4</v>
      </c>
    </row>
    <row r="693" spans="2:11" x14ac:dyDescent="0.25">
      <c r="B693" t="str">
        <f t="shared" si="440"/>
        <v>SPS2</v>
      </c>
      <c r="C693" t="str">
        <f t="shared" si="430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1">SUM(G694:G695)</f>
        <v>0</v>
      </c>
      <c r="H693" s="1">
        <f t="shared" si="441"/>
        <v>0</v>
      </c>
      <c r="I693" s="1">
        <f t="shared" si="441"/>
        <v>5.2209961172802191E-4</v>
      </c>
      <c r="J693" s="1">
        <f t="shared" si="441"/>
        <v>7.3404363377375752</v>
      </c>
      <c r="K693" s="1">
        <f t="shared" si="441"/>
        <v>10.226732351675556</v>
      </c>
    </row>
    <row r="694" spans="2:11" x14ac:dyDescent="0.25">
      <c r="B694" t="str">
        <f t="shared" si="440"/>
        <v>SPS2</v>
      </c>
      <c r="C694" t="str">
        <f t="shared" si="430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5.2209961172802191E-4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7.3404363377375752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4.7301504615534326E-2</v>
      </c>
    </row>
    <row r="695" spans="2:11" x14ac:dyDescent="0.25">
      <c r="B695" t="str">
        <f t="shared" si="440"/>
        <v>SPS2</v>
      </c>
      <c r="C695" t="str">
        <f t="shared" si="430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10.179430847060022</v>
      </c>
    </row>
    <row r="696" spans="2:11" x14ac:dyDescent="0.25">
      <c r="B696" s="9" t="str">
        <f t="shared" si="440"/>
        <v>SPS2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 t="shared" si="440"/>
        <v>SPS2</v>
      </c>
      <c r="C697" t="str">
        <f t="shared" ref="C697:C703" si="442">C696</f>
        <v>CH</v>
      </c>
      <c r="D697" t="s">
        <v>409</v>
      </c>
      <c r="E697" s="5" t="s">
        <v>240</v>
      </c>
      <c r="F697" s="4">
        <f>IFERROR(F662/F679,"-")</f>
        <v>0.68500000000000127</v>
      </c>
      <c r="G697" s="4">
        <f t="shared" ref="G697:K697" si="443">IFERROR(G662/G679,"-")</f>
        <v>0.69400000000000117</v>
      </c>
      <c r="H697" s="4">
        <f t="shared" si="443"/>
        <v>0.70749999999999968</v>
      </c>
      <c r="I697" s="4">
        <f t="shared" si="443"/>
        <v>0.72999999999999987</v>
      </c>
      <c r="J697" s="4">
        <f t="shared" si="443"/>
        <v>0.77499999999999913</v>
      </c>
      <c r="K697" s="4">
        <f t="shared" si="443"/>
        <v>0.8199999999999994</v>
      </c>
    </row>
    <row r="698" spans="2:11" x14ac:dyDescent="0.25">
      <c r="B698" t="str">
        <f t="shared" si="440"/>
        <v>SPS2</v>
      </c>
      <c r="C698" t="str">
        <f t="shared" si="442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44">IFERROR(G663/G680,"-")</f>
        <v>-</v>
      </c>
      <c r="H698" s="4" t="str">
        <f t="shared" si="444"/>
        <v>-</v>
      </c>
      <c r="I698" s="4">
        <f t="shared" si="444"/>
        <v>0.73000000000000065</v>
      </c>
      <c r="J698" s="4">
        <f t="shared" si="444"/>
        <v>0.77500000000000047</v>
      </c>
      <c r="K698" s="4">
        <f t="shared" si="444"/>
        <v>0.81999999999999984</v>
      </c>
    </row>
    <row r="699" spans="2:11" x14ac:dyDescent="0.25">
      <c r="B699" t="str">
        <f t="shared" si="440"/>
        <v>SPS2</v>
      </c>
      <c r="C699" t="str">
        <f t="shared" si="442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45">IFERROR(G664/SUM(G681,G683),"-")</f>
        <v>-</v>
      </c>
      <c r="H699" s="4" t="str">
        <f t="shared" si="445"/>
        <v>-</v>
      </c>
      <c r="I699" s="4" t="str">
        <f t="shared" si="445"/>
        <v>-</v>
      </c>
      <c r="J699" s="4">
        <f t="shared" si="445"/>
        <v>0.86999999999999977</v>
      </c>
      <c r="K699" s="4">
        <f t="shared" si="445"/>
        <v>0.90000000000000013</v>
      </c>
    </row>
    <row r="700" spans="2:11" x14ac:dyDescent="0.25">
      <c r="B700" t="str">
        <f t="shared" si="440"/>
        <v>SPS2</v>
      </c>
      <c r="C700" t="str">
        <f t="shared" si="442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46">IFERROR(G666/G685,"-")</f>
        <v>-</v>
      </c>
      <c r="H700" s="4" t="str">
        <f t="shared" si="446"/>
        <v>-</v>
      </c>
      <c r="I700" s="4" t="str">
        <f t="shared" si="446"/>
        <v>-</v>
      </c>
      <c r="J700" s="4" t="str">
        <f t="shared" si="446"/>
        <v>-</v>
      </c>
      <c r="K700" s="4">
        <f t="shared" si="446"/>
        <v>0.7599999999999999</v>
      </c>
    </row>
    <row r="701" spans="2:11" x14ac:dyDescent="0.25">
      <c r="B701" t="str">
        <f t="shared" si="440"/>
        <v>SPS2</v>
      </c>
      <c r="C701" t="str">
        <f t="shared" si="442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46"/>
        <v>-</v>
      </c>
      <c r="H701" s="4" t="str">
        <f t="shared" si="446"/>
        <v>-</v>
      </c>
      <c r="I701" s="4" t="str">
        <f t="shared" si="446"/>
        <v>-</v>
      </c>
      <c r="J701" s="4" t="str">
        <f t="shared" si="446"/>
        <v>-</v>
      </c>
      <c r="K701" s="4">
        <f t="shared" si="446"/>
        <v>0.69000000000000072</v>
      </c>
    </row>
    <row r="702" spans="2:11" x14ac:dyDescent="0.25">
      <c r="B702" t="str">
        <f t="shared" si="440"/>
        <v>SPS2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47">IFERROR(G675/G694,"-")</f>
        <v>-</v>
      </c>
      <c r="H702" s="4" t="str">
        <f t="shared" si="447"/>
        <v>-</v>
      </c>
      <c r="I702" s="4">
        <f t="shared" si="447"/>
        <v>0.59999999999999987</v>
      </c>
      <c r="J702" s="4">
        <f t="shared" si="447"/>
        <v>0.59999999999999964</v>
      </c>
      <c r="K702" s="4">
        <f t="shared" si="447"/>
        <v>0.60000000000000697</v>
      </c>
    </row>
    <row r="703" spans="2:11" x14ac:dyDescent="0.25">
      <c r="B703" t="str">
        <f t="shared" si="440"/>
        <v>SPS2</v>
      </c>
      <c r="C703" t="str">
        <f t="shared" si="442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47"/>
        <v>-</v>
      </c>
      <c r="H703" s="4" t="str">
        <f t="shared" si="447"/>
        <v>-</v>
      </c>
      <c r="I703" s="4" t="str">
        <f t="shared" si="447"/>
        <v>-</v>
      </c>
      <c r="J703" s="4" t="str">
        <f t="shared" si="447"/>
        <v>-</v>
      </c>
      <c r="K703" s="4">
        <f t="shared" si="447"/>
        <v>0.57999999999999996</v>
      </c>
    </row>
    <row r="704" spans="2:11" x14ac:dyDescent="0.25">
      <c r="B704" s="9" t="str">
        <f t="shared" si="440"/>
        <v>SPS2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1.1764715235639756</v>
      </c>
      <c r="G704" s="1">
        <f>[1]Other_transformation!C$39</f>
        <v>3.2930256263465325</v>
      </c>
      <c r="H704" s="1">
        <f>[1]Other_transformation!D$39</f>
        <v>2.7487522768695252</v>
      </c>
      <c r="I704" s="1">
        <f>[1]Other_transformation!E$39</f>
        <v>6.6017058198596761</v>
      </c>
      <c r="J704" s="1">
        <f>[1]Other_transformation!F$39</f>
        <v>5.4369218502880656</v>
      </c>
      <c r="K704" s="1">
        <f>[1]Other_transformation!G$39</f>
        <v>10.431251608235913</v>
      </c>
    </row>
    <row r="705" spans="2:11" x14ac:dyDescent="0.25">
      <c r="B705" s="9" t="str">
        <f t="shared" si="440"/>
        <v>SPS2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1.2890711841623719</v>
      </c>
      <c r="G705" s="1">
        <f>[1]Other_transformation!C$38</f>
        <v>3.6081999084619012</v>
      </c>
      <c r="H705" s="1">
        <f>[1]Other_transformation!D$38</f>
        <v>3.0118343551394391</v>
      </c>
      <c r="I705" s="1">
        <f>[1]Other_transformation!E$38</f>
        <v>7.2335526770065304</v>
      </c>
      <c r="J705" s="1">
        <f>[1]Other_transformation!F$38</f>
        <v>5.957287658368041</v>
      </c>
      <c r="K705" s="1">
        <f>[1]Other_transformation!G$38</f>
        <v>11.429622896599689</v>
      </c>
    </row>
    <row r="706" spans="2:11" x14ac:dyDescent="0.25">
      <c r="B706" s="9" t="str">
        <f t="shared" si="440"/>
        <v>SPS2</v>
      </c>
      <c r="C706" s="9" t="s">
        <v>7</v>
      </c>
      <c r="D706" s="2" t="s">
        <v>426</v>
      </c>
      <c r="E706" s="9" t="s">
        <v>8</v>
      </c>
      <c r="F706" s="14">
        <f t="shared" ref="F706:K706" si="448">F704/F705</f>
        <v>0.91265054871926043</v>
      </c>
      <c r="G706" s="14">
        <f t="shared" si="448"/>
        <v>0.91265054871925855</v>
      </c>
      <c r="H706" s="14">
        <f t="shared" si="448"/>
        <v>0.91265054871925921</v>
      </c>
      <c r="I706" s="14">
        <f t="shared" si="448"/>
        <v>0.91265054871925921</v>
      </c>
      <c r="J706" s="14">
        <f t="shared" si="448"/>
        <v>0.91265054871925955</v>
      </c>
      <c r="K706" s="14">
        <f t="shared" si="448"/>
        <v>0.91265054871925899</v>
      </c>
    </row>
    <row r="707" spans="2:11" x14ac:dyDescent="0.25">
      <c r="B707" s="9" t="str">
        <f t="shared" si="440"/>
        <v>SPS2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5.9796333019404271</v>
      </c>
      <c r="G707" s="17" cm="1">
        <f t="array" ref="G707">SUMPRODUCT(("CT_CWODPLT"=[1]OUT_SyntheticFuels!$C$4:$C$1000)*1,("Var_Fout"=[1]OUT_SyntheticFuels!$B$4:$B$1000)*1,[1]OUT_SyntheticFuels!F$4:F$1000)</f>
        <v>6.9696499887978565</v>
      </c>
      <c r="H707" s="17" cm="1">
        <f t="array" ref="H707">SUMPRODUCT(("CT_CWODPLT"=[1]OUT_SyntheticFuels!$C$4:$C$1000)*1,("Var_Fout"=[1]OUT_SyntheticFuels!$B$4:$B$1000)*1,[1]OUT_SyntheticFuels!G$4:G$1000)</f>
        <v>2.001335967304041</v>
      </c>
      <c r="I707" s="17" cm="1">
        <f t="array" ref="I707">SUMPRODUCT(("CT_CWODPLT"=[1]OUT_SyntheticFuels!$C$4:$C$1000)*1,("Var_Fout"=[1]OUT_SyntheticFuels!$B$4:$B$1000)*1,[1]OUT_SyntheticFuels!H$4:H$1000)</f>
        <v>2.829058469288495</v>
      </c>
      <c r="J707" s="17" cm="1">
        <f t="array" ref="J707">SUMPRODUCT(("CT_CWODPLT"=[1]OUT_SyntheticFuels!$C$4:$C$1000)*1,("Var_Fout"=[1]OUT_SyntheticFuels!$B$4:$B$1000)*1,[1]OUT_SyntheticFuels!I$4:I$1000)</f>
        <v>3.7033320581761582</v>
      </c>
      <c r="K707" s="17" cm="1">
        <f t="array" ref="K707">SUMPRODUCT(("CT_CWODPLT"=[1]OUT_SyntheticFuels!$C$4:$C$1000)*1,("Var_Fout"=[1]OUT_SyntheticFuels!$B$4:$B$1000)*1,[1]OUT_SyntheticFuels!J$4:J$1000)</f>
        <v>3.6086290534200924</v>
      </c>
    </row>
    <row r="708" spans="2:11" x14ac:dyDescent="0.25">
      <c r="B708" s="5" t="str">
        <f t="shared" si="440"/>
        <v>SPS2</v>
      </c>
      <c r="C708" s="5" t="str">
        <f>C707</f>
        <v>SPS1</v>
      </c>
      <c r="D708" t="s">
        <v>491</v>
      </c>
      <c r="E708" s="5" t="s">
        <v>8</v>
      </c>
      <c r="F708" s="18">
        <f>F707</f>
        <v>5.9796333019404271</v>
      </c>
      <c r="G708" s="18">
        <f t="shared" ref="G708:K708" si="449">G707</f>
        <v>6.9696499887978565</v>
      </c>
      <c r="H708" s="18">
        <f t="shared" si="449"/>
        <v>2.001335967304041</v>
      </c>
      <c r="I708" s="18">
        <f t="shared" si="449"/>
        <v>2.829058469288495</v>
      </c>
      <c r="J708" s="18">
        <f t="shared" si="449"/>
        <v>3.7033320581761582</v>
      </c>
      <c r="K708" s="18">
        <f t="shared" si="449"/>
        <v>3.6086290534200924</v>
      </c>
    </row>
    <row r="709" spans="2:11" x14ac:dyDescent="0.25">
      <c r="B709" s="9" t="str">
        <f t="shared" si="440"/>
        <v>SPS2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7.1186110737386068</v>
      </c>
      <c r="G709" s="17" cm="1">
        <f t="array" ref="G709">SUMPRODUCT(("CT_CWODPLT"=[1]OUT_SyntheticFuels!$C$4:$C$1000)*1,("Var_Fin"=[1]OUT_SyntheticFuels!$B$4:$B$1000)*1,[1]OUT_SyntheticFuels!F$4:F$1000)</f>
        <v>8.2972023676164923</v>
      </c>
      <c r="H709" s="17" cm="1">
        <f t="array" ref="H709">SUMPRODUCT(("CT_CWODPLT"=[1]OUT_SyntheticFuels!$C$4:$C$1000)*1,("Var_Fin"=[1]OUT_SyntheticFuels!$B$4:$B$1000)*1,[1]OUT_SyntheticFuels!G$4:G$1000)</f>
        <v>2.3825428182190933</v>
      </c>
      <c r="I709" s="17" cm="1">
        <f t="array" ref="I709">SUMPRODUCT(("CT_CWODPLT"=[1]OUT_SyntheticFuels!$C$4:$C$1000)*1,("Var_Fin"=[1]OUT_SyntheticFuels!$B$4:$B$1000)*1,[1]OUT_SyntheticFuels!H$4:H$1000)</f>
        <v>3.3679267491529732</v>
      </c>
      <c r="J709" s="17" cm="1">
        <f t="array" ref="J709">SUMPRODUCT(("CT_CWODPLT"=[1]OUT_SyntheticFuels!$C$4:$C$1000)*1,("Var_Fin"=[1]OUT_SyntheticFuels!$B$4:$B$1000)*1,[1]OUT_SyntheticFuels!I$4:I$1000)</f>
        <v>4.408728640685899</v>
      </c>
      <c r="K709" s="17" cm="1">
        <f t="array" ref="K709">SUMPRODUCT(("CT_CWODPLT"=[1]OUT_SyntheticFuels!$C$4:$C$1000)*1,("Var_Fin"=[1]OUT_SyntheticFuels!$B$4:$B$1000)*1,[1]OUT_SyntheticFuels!J$4:J$1000)</f>
        <v>4.2959869683572567</v>
      </c>
    </row>
    <row r="710" spans="2:11" x14ac:dyDescent="0.25">
      <c r="B710" s="5" t="str">
        <f t="shared" si="440"/>
        <v>SPS2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0">F709</f>
        <v>7.1186110737386068</v>
      </c>
      <c r="G710" s="18">
        <f t="shared" si="450"/>
        <v>8.2972023676164923</v>
      </c>
      <c r="H710" s="18">
        <f t="shared" si="450"/>
        <v>2.3825428182190933</v>
      </c>
      <c r="I710" s="18">
        <f t="shared" si="450"/>
        <v>3.3679267491529732</v>
      </c>
      <c r="J710" s="18">
        <f t="shared" si="450"/>
        <v>4.408728640685899</v>
      </c>
      <c r="K710" s="18">
        <f t="shared" si="450"/>
        <v>4.2959869683572567</v>
      </c>
    </row>
    <row r="711" spans="2:11" x14ac:dyDescent="0.25">
      <c r="B711" s="9" t="str">
        <f t="shared" si="440"/>
        <v>SPS2</v>
      </c>
      <c r="C711" s="9" t="s">
        <v>6</v>
      </c>
      <c r="D711" s="2" t="s">
        <v>476</v>
      </c>
      <c r="E711" s="9" t="s">
        <v>240</v>
      </c>
      <c r="F711" s="14">
        <f t="shared" ref="F711:K711" si="451">IFERROR(F707/F709,"-")</f>
        <v>0.83999999999999964</v>
      </c>
      <c r="G711" s="14">
        <f t="shared" si="451"/>
        <v>0.8400000000000003</v>
      </c>
      <c r="H711" s="14">
        <f t="shared" si="451"/>
        <v>0.84000000000000108</v>
      </c>
      <c r="I711" s="14">
        <f t="shared" si="451"/>
        <v>0.8399999999999993</v>
      </c>
      <c r="J711" s="14">
        <f t="shared" si="451"/>
        <v>0.84000000000000064</v>
      </c>
      <c r="K711" s="14">
        <f t="shared" si="451"/>
        <v>0.8399999999999993</v>
      </c>
    </row>
    <row r="712" spans="2:11" x14ac:dyDescent="0.25">
      <c r="B712" s="9" t="str">
        <f t="shared" si="440"/>
        <v>SPS2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52">G713+G715</f>
        <v>0</v>
      </c>
      <c r="H712" s="17">
        <f t="shared" si="452"/>
        <v>0</v>
      </c>
      <c r="I712" s="17">
        <f t="shared" si="452"/>
        <v>0</v>
      </c>
      <c r="J712" s="17">
        <f t="shared" si="452"/>
        <v>6.303675336016819</v>
      </c>
      <c r="K712" s="17">
        <f t="shared" si="452"/>
        <v>30.468532627721064</v>
      </c>
    </row>
    <row r="713" spans="2:11" x14ac:dyDescent="0.25">
      <c r="B713" s="5" t="str">
        <f t="shared" si="440"/>
        <v>SPS2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53">G714</f>
        <v>0</v>
      </c>
      <c r="H713" s="18">
        <f t="shared" si="453"/>
        <v>0</v>
      </c>
      <c r="I713" s="18">
        <f t="shared" si="453"/>
        <v>0</v>
      </c>
      <c r="J713" s="18">
        <f t="shared" si="453"/>
        <v>0.59270519736912131</v>
      </c>
      <c r="K713" s="18">
        <f t="shared" si="453"/>
        <v>14.081382324655593</v>
      </c>
    </row>
    <row r="714" spans="2:11" x14ac:dyDescent="0.25">
      <c r="B714" s="5" t="str">
        <f t="shared" si="440"/>
        <v>SPS2</v>
      </c>
      <c r="C714" s="5" t="str">
        <f t="shared" ref="B714:C716" si="454">C712</f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0.59270519736912131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14.081382324655593</v>
      </c>
    </row>
    <row r="715" spans="2:11" x14ac:dyDescent="0.25">
      <c r="B715" s="5" t="str">
        <f t="shared" si="440"/>
        <v>SPS2</v>
      </c>
      <c r="C715" s="5" t="str">
        <f t="shared" si="454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55">SUM(G716:G718)</f>
        <v>0</v>
      </c>
      <c r="H715" s="18">
        <f t="shared" si="455"/>
        <v>0</v>
      </c>
      <c r="I715" s="18">
        <f t="shared" si="455"/>
        <v>0</v>
      </c>
      <c r="J715" s="18">
        <f t="shared" si="455"/>
        <v>5.7109701386476974</v>
      </c>
      <c r="K715" s="18">
        <f t="shared" si="455"/>
        <v>16.387150303065471</v>
      </c>
    </row>
    <row r="716" spans="2:11" x14ac:dyDescent="0.25">
      <c r="B716" s="5" t="str">
        <f t="shared" si="440"/>
        <v>SPS2</v>
      </c>
      <c r="C716" s="5" t="str">
        <f t="shared" si="454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3.680160905195486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13.018898144015665</v>
      </c>
    </row>
    <row r="717" spans="2:11" x14ac:dyDescent="0.25">
      <c r="B717" s="5" t="str">
        <f t="shared" si="440"/>
        <v>SPS2</v>
      </c>
      <c r="C717" s="5" t="str">
        <f t="shared" ref="B717:C719" si="456">C716</f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1.4914857151552128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3.3682521590498076</v>
      </c>
    </row>
    <row r="718" spans="2:11" x14ac:dyDescent="0.25">
      <c r="B718" s="5" t="str">
        <f t="shared" si="440"/>
        <v>SPS2</v>
      </c>
      <c r="C718" s="5" t="str">
        <f t="shared" si="456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0.53932351829699865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40"/>
        <v>SPS2</v>
      </c>
      <c r="C719" s="9" t="str">
        <f t="shared" si="456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57">G720</f>
        <v>0</v>
      </c>
      <c r="H719" s="17">
        <f t="shared" si="457"/>
        <v>0</v>
      </c>
      <c r="I719" s="17">
        <f t="shared" si="457"/>
        <v>0</v>
      </c>
      <c r="J719" s="17">
        <f t="shared" si="457"/>
        <v>10.175414032315784</v>
      </c>
      <c r="K719" s="17">
        <f t="shared" si="457"/>
        <v>45.545676156124934</v>
      </c>
    </row>
    <row r="720" spans="2:11" x14ac:dyDescent="0.25">
      <c r="B720" s="5" t="str">
        <f t="shared" si="440"/>
        <v>SPS2</v>
      </c>
      <c r="C720" s="5" t="str">
        <f t="shared" ref="C720:C726" si="458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59">SUM(G721,G723)</f>
        <v>0</v>
      </c>
      <c r="H720" s="18">
        <f t="shared" si="459"/>
        <v>0</v>
      </c>
      <c r="I720" s="18">
        <f t="shared" si="459"/>
        <v>0</v>
      </c>
      <c r="J720" s="18">
        <f t="shared" si="459"/>
        <v>10.175414032315784</v>
      </c>
      <c r="K720" s="18">
        <f t="shared" si="459"/>
        <v>45.545676156124934</v>
      </c>
    </row>
    <row r="721" spans="2:13" x14ac:dyDescent="0.25">
      <c r="B721" s="5" t="str">
        <f t="shared" si="440"/>
        <v>SPS2</v>
      </c>
      <c r="C721" s="5" t="str">
        <f t="shared" si="458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0">G722</f>
        <v>0</v>
      </c>
      <c r="H721" s="18">
        <f t="shared" si="460"/>
        <v>0</v>
      </c>
      <c r="I721" s="18">
        <f t="shared" si="460"/>
        <v>0</v>
      </c>
      <c r="J721" s="18">
        <f t="shared" si="460"/>
        <v>0.76974700957028863</v>
      </c>
      <c r="K721" s="18">
        <f t="shared" si="460"/>
        <v>18.287509512539749</v>
      </c>
    </row>
    <row r="722" spans="2:13" x14ac:dyDescent="0.25">
      <c r="B722" s="5" t="str">
        <f t="shared" si="440"/>
        <v>SPS2</v>
      </c>
      <c r="C722" s="5" t="str">
        <f t="shared" si="458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0.76974700957028863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18.287509512539749</v>
      </c>
    </row>
    <row r="723" spans="2:13" x14ac:dyDescent="0.25">
      <c r="B723" s="5" t="str">
        <f t="shared" si="440"/>
        <v>SPS2</v>
      </c>
      <c r="C723" s="5" t="str">
        <f t="shared" si="458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61">SUM(G724:G726)</f>
        <v>0</v>
      </c>
      <c r="H723" s="18">
        <f t="shared" si="461"/>
        <v>0</v>
      </c>
      <c r="I723" s="18">
        <f t="shared" si="461"/>
        <v>0</v>
      </c>
      <c r="J723" s="18">
        <f t="shared" si="461"/>
        <v>9.4056670227454955</v>
      </c>
      <c r="K723" s="18">
        <f t="shared" si="461"/>
        <v>27.258166643585184</v>
      </c>
    </row>
    <row r="724" spans="2:13" x14ac:dyDescent="0.25">
      <c r="B724" s="5" t="str">
        <f t="shared" si="440"/>
        <v>SPS2</v>
      </c>
      <c r="C724" s="5" t="str">
        <f t="shared" si="458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6.3451050089575354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22.446377844942599</v>
      </c>
    </row>
    <row r="725" spans="2:13" x14ac:dyDescent="0.25">
      <c r="B725" s="5" t="str">
        <f t="shared" si="440"/>
        <v>SPS2</v>
      </c>
      <c r="C725" s="5" t="str">
        <f t="shared" si="458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2.1306938787931626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4.8117887986425849</v>
      </c>
    </row>
    <row r="726" spans="2:13" x14ac:dyDescent="0.25">
      <c r="B726" s="5" t="str">
        <f t="shared" si="440"/>
        <v>SPS2</v>
      </c>
      <c r="C726" s="5" t="str">
        <f t="shared" si="458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0.92986813499479659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 t="shared" si="440"/>
        <v>SPS2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 t="shared" si="440"/>
        <v>SPS2</v>
      </c>
      <c r="C728" s="5" t="str">
        <f t="shared" ref="C728:C733" si="462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63">IFERROR(G714/G722,"-")</f>
        <v>-</v>
      </c>
      <c r="H728" s="14" t="str">
        <f t="shared" si="463"/>
        <v>-</v>
      </c>
      <c r="I728" s="14" t="str">
        <f t="shared" si="463"/>
        <v>-</v>
      </c>
      <c r="J728" s="14">
        <f t="shared" si="463"/>
        <v>0.7699999999999988</v>
      </c>
      <c r="K728" s="14">
        <f t="shared" si="463"/>
        <v>0.76999999999999924</v>
      </c>
    </row>
    <row r="729" spans="2:13" x14ac:dyDescent="0.25">
      <c r="B729" s="5" t="str">
        <f t="shared" si="440"/>
        <v>SPS2</v>
      </c>
      <c r="C729" s="5" t="str">
        <f t="shared" si="462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64">IFERROR(G716/G724,"-")</f>
        <v>-</v>
      </c>
      <c r="H729" s="16" t="str">
        <f t="shared" si="464"/>
        <v>-</v>
      </c>
      <c r="I729" s="16" t="str">
        <f t="shared" si="464"/>
        <v>-</v>
      </c>
      <c r="J729" s="16">
        <f t="shared" si="464"/>
        <v>0.58000000000001817</v>
      </c>
      <c r="K729" s="16">
        <f t="shared" si="464"/>
        <v>0.57999995517980452</v>
      </c>
      <c r="L729" s="9"/>
      <c r="M729" s="9"/>
    </row>
    <row r="730" spans="2:13" x14ac:dyDescent="0.25">
      <c r="B730" s="5" t="str">
        <f t="shared" si="440"/>
        <v>SPS2</v>
      </c>
      <c r="C730" s="5" t="str">
        <f t="shared" si="462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65">IFERROR(G717/G725,"-")</f>
        <v>-</v>
      </c>
      <c r="H730" s="16" t="str">
        <f t="shared" si="465"/>
        <v>-</v>
      </c>
      <c r="I730" s="16" t="str">
        <f t="shared" si="465"/>
        <v>-</v>
      </c>
      <c r="J730" s="16">
        <f t="shared" si="465"/>
        <v>0.69999999999999951</v>
      </c>
      <c r="K730" s="16">
        <f t="shared" si="465"/>
        <v>0.69999999999999962</v>
      </c>
      <c r="L730" s="9"/>
      <c r="M730" s="9"/>
    </row>
    <row r="731" spans="2:13" x14ac:dyDescent="0.25">
      <c r="B731" s="5" t="str">
        <f t="shared" si="440"/>
        <v>SPS2</v>
      </c>
      <c r="C731" s="5" t="str">
        <f t="shared" si="462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66">IFERROR(G718/G726,"-")</f>
        <v>-</v>
      </c>
      <c r="H731" s="16" t="str">
        <f t="shared" si="466"/>
        <v>-</v>
      </c>
      <c r="I731" s="16" t="str">
        <f t="shared" si="466"/>
        <v>-</v>
      </c>
      <c r="J731" s="16">
        <f t="shared" si="466"/>
        <v>0.58000000000001783</v>
      </c>
      <c r="K731" s="16" t="str">
        <f t="shared" si="466"/>
        <v>-</v>
      </c>
      <c r="L731" s="9"/>
      <c r="M731" s="9"/>
    </row>
    <row r="732" spans="2:13" x14ac:dyDescent="0.25">
      <c r="B732" s="5" t="str">
        <f t="shared" si="440"/>
        <v>SPS2</v>
      </c>
      <c r="C732" s="5" t="str">
        <f t="shared" si="462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67">G733</f>
        <v>0</v>
      </c>
      <c r="H732" s="17">
        <f t="shared" ref="H732" si="468">H733</f>
        <v>0</v>
      </c>
      <c r="I732" s="17">
        <f t="shared" ref="I732" si="469">I733</f>
        <v>0</v>
      </c>
      <c r="J732" s="17">
        <f t="shared" ref="J732" si="470">J733</f>
        <v>0.4527884271520628</v>
      </c>
      <c r="K732" s="17">
        <f t="shared" ref="K732" si="471">K733</f>
        <v>1.9970522801483428</v>
      </c>
      <c r="L732" s="9"/>
      <c r="M732" s="9"/>
    </row>
    <row r="733" spans="2:13" x14ac:dyDescent="0.25">
      <c r="B733" s="5" t="str">
        <f t="shared" si="440"/>
        <v>SPS2</v>
      </c>
      <c r="C733" s="5" t="str">
        <f t="shared" si="462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72">SUM(G737,G739)</f>
        <v>0</v>
      </c>
      <c r="H733" s="18">
        <f t="shared" ref="H733" si="473">SUM(H737,H739)</f>
        <v>0</v>
      </c>
      <c r="I733" s="18">
        <f t="shared" ref="I733" si="474">SUM(I737,I739)</f>
        <v>0</v>
      </c>
      <c r="J733" s="18">
        <f t="shared" ref="J733" si="475">SUM(J737,J739)</f>
        <v>0.4527884271520628</v>
      </c>
      <c r="K733" s="18">
        <f t="shared" ref="K733" si="476">SUM(K737,K739)</f>
        <v>1.9970522801483428</v>
      </c>
      <c r="L733" s="9"/>
      <c r="M733" s="9"/>
    </row>
    <row r="734" spans="2:13" x14ac:dyDescent="0.25">
      <c r="B734" s="5" t="str">
        <f t="shared" si="440"/>
        <v>SPS2</v>
      </c>
      <c r="C734" s="5" t="str">
        <f t="shared" ref="B734:C736" si="477">C733</f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0.27032916808897217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1.5058026727997462</v>
      </c>
      <c r="L734" s="9"/>
      <c r="M734" s="9"/>
    </row>
    <row r="735" spans="2:13" x14ac:dyDescent="0.25">
      <c r="B735" s="5" t="str">
        <f t="shared" si="440"/>
        <v>SPS2</v>
      </c>
      <c r="C735" s="5" t="str">
        <f t="shared" si="47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0.18245694589673683</v>
      </c>
      <c r="K735" s="18">
        <f>K733-K734-K736</f>
        <v>0.4911828137419289</v>
      </c>
      <c r="L735" s="9"/>
      <c r="M735" s="9"/>
    </row>
    <row r="736" spans="2:13" x14ac:dyDescent="0.25">
      <c r="B736" s="5" t="str">
        <f t="shared" si="440"/>
        <v>SPS2</v>
      </c>
      <c r="C736" s="5" t="str">
        <f t="shared" si="47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2.313166353785659E-6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6.6793606667662946E-5</v>
      </c>
      <c r="L736" s="9"/>
    </row>
    <row r="737" spans="2:13" x14ac:dyDescent="0.25">
      <c r="B737" s="5" t="str">
        <f t="shared" si="440"/>
        <v>SPS2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78">G738</f>
        <v>0</v>
      </c>
      <c r="H737" s="18">
        <f t="shared" ref="H737" si="479">H738</f>
        <v>0</v>
      </c>
      <c r="I737" s="18">
        <f t="shared" ref="I737" si="480">I738</f>
        <v>0</v>
      </c>
      <c r="J737" s="18">
        <f t="shared" ref="J737" si="481">J738</f>
        <v>3.3428573131618483E-2</v>
      </c>
      <c r="K737" s="18">
        <f t="shared" ref="K737" si="482">K738</f>
        <v>0.7941899631105751</v>
      </c>
      <c r="L737" s="9"/>
    </row>
    <row r="738" spans="2:13" x14ac:dyDescent="0.25">
      <c r="B738" s="5" t="str">
        <f t="shared" si="440"/>
        <v>SPS2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3.3428573131618483E-2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0.7941899631105751</v>
      </c>
      <c r="L738" s="9"/>
    </row>
    <row r="739" spans="2:13" x14ac:dyDescent="0.25">
      <c r="B739" s="5" t="str">
        <f t="shared" si="440"/>
        <v>SPS2</v>
      </c>
      <c r="C739" s="5" t="str">
        <f t="shared" ref="C739:C742" si="483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84">SUM(G740:G742)</f>
        <v>0</v>
      </c>
      <c r="H739" s="18">
        <f t="shared" ref="H739" si="485">SUM(H740:H742)</f>
        <v>0</v>
      </c>
      <c r="I739" s="18">
        <f t="shared" ref="I739" si="486">SUM(I740:I742)</f>
        <v>0</v>
      </c>
      <c r="J739" s="18">
        <f t="shared" ref="J739" si="487">SUM(J740:J742)</f>
        <v>0.41935985402044434</v>
      </c>
      <c r="K739" s="18">
        <f t="shared" ref="K739" si="488">SUM(K740:K742)</f>
        <v>1.2028623170377677</v>
      </c>
      <c r="L739" s="9"/>
    </row>
    <row r="740" spans="2:13" x14ac:dyDescent="0.25">
      <c r="B740" s="5" t="str">
        <f t="shared" si="440"/>
        <v>SPS2</v>
      </c>
      <c r="C740" s="5" t="str">
        <f t="shared" si="483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0.26975579435082081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0.95428530769989195</v>
      </c>
      <c r="L740" s="9"/>
    </row>
    <row r="741" spans="2:13" x14ac:dyDescent="0.25">
      <c r="B741" s="5" t="str">
        <f t="shared" si="440"/>
        <v>SPS2</v>
      </c>
      <c r="C741" s="5" t="str">
        <f t="shared" si="483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0.11007164577845475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0.24857700933787583</v>
      </c>
      <c r="L741" s="9"/>
      <c r="M741" s="9"/>
    </row>
    <row r="742" spans="2:13" x14ac:dyDescent="0.25">
      <c r="B742" s="5" t="str">
        <f t="shared" si="440"/>
        <v>SPS2</v>
      </c>
      <c r="C742" s="5" t="str">
        <f t="shared" si="483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3.9532413891168794E-2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 t="shared" si="440"/>
        <v>SPS2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489">IFERROR(G$734/G$733,0)*G737</f>
        <v>0</v>
      </c>
      <c r="H743" s="18">
        <f t="shared" si="489"/>
        <v>0</v>
      </c>
      <c r="I743" s="18">
        <f t="shared" si="489"/>
        <v>0</v>
      </c>
      <c r="J743" s="18">
        <f t="shared" si="489"/>
        <v>1.9957926976868011E-2</v>
      </c>
      <c r="K743" s="18">
        <f t="shared" si="489"/>
        <v>0.59882927505223038</v>
      </c>
    </row>
    <row r="744" spans="2:13" x14ac:dyDescent="0.25">
      <c r="B744" s="5" t="str">
        <f t="shared" si="440"/>
        <v>SPS2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490">IFERROR(F$734/F$733,0)*F738</f>
        <v>0</v>
      </c>
      <c r="G744" s="18">
        <f t="shared" si="490"/>
        <v>0</v>
      </c>
      <c r="H744" s="18">
        <f t="shared" si="490"/>
        <v>0</v>
      </c>
      <c r="I744" s="18">
        <f t="shared" si="490"/>
        <v>0</v>
      </c>
      <c r="J744" s="18">
        <f t="shared" si="490"/>
        <v>1.9957926976868011E-2</v>
      </c>
      <c r="K744" s="18">
        <f t="shared" si="490"/>
        <v>0.59882927505223038</v>
      </c>
    </row>
    <row r="745" spans="2:13" x14ac:dyDescent="0.25">
      <c r="B745" s="5" t="str">
        <f t="shared" si="440"/>
        <v>SPS2</v>
      </c>
      <c r="C745" s="5" t="str">
        <f t="shared" ref="C745:C748" si="491">C744</f>
        <v>CH</v>
      </c>
      <c r="D745" t="s">
        <v>935</v>
      </c>
      <c r="E745" s="5" t="s">
        <v>442</v>
      </c>
      <c r="F745" s="18">
        <f t="shared" ref="F745:K745" si="492">IFERROR(F$734/F$733,0)*F739</f>
        <v>0</v>
      </c>
      <c r="G745" s="18">
        <f t="shared" si="492"/>
        <v>0</v>
      </c>
      <c r="H745" s="18">
        <f t="shared" si="492"/>
        <v>0</v>
      </c>
      <c r="I745" s="18">
        <f t="shared" si="492"/>
        <v>0</v>
      </c>
      <c r="J745" s="18">
        <f t="shared" si="492"/>
        <v>0.25037124111210418</v>
      </c>
      <c r="K745" s="18">
        <f t="shared" si="492"/>
        <v>0.90697339774751584</v>
      </c>
    </row>
    <row r="746" spans="2:13" x14ac:dyDescent="0.25">
      <c r="B746" s="5" t="str">
        <f t="shared" si="440"/>
        <v>SPS2</v>
      </c>
      <c r="C746" s="5" t="str">
        <f t="shared" si="491"/>
        <v>CH</v>
      </c>
      <c r="D746" t="s">
        <v>457</v>
      </c>
      <c r="E746" s="5" t="s">
        <v>442</v>
      </c>
      <c r="F746" s="18">
        <f t="shared" ref="F746:K746" si="493">IFERROR(F$734/F$733,0)*F740</f>
        <v>0</v>
      </c>
      <c r="G746" s="18">
        <f t="shared" si="493"/>
        <v>0</v>
      </c>
      <c r="H746" s="18">
        <f t="shared" si="493"/>
        <v>0</v>
      </c>
      <c r="I746" s="18">
        <f t="shared" si="493"/>
        <v>0</v>
      </c>
      <c r="J746" s="18">
        <f t="shared" si="493"/>
        <v>0.16105283417402164</v>
      </c>
      <c r="K746" s="18">
        <f t="shared" si="493"/>
        <v>0.71954318934569228</v>
      </c>
    </row>
    <row r="747" spans="2:13" x14ac:dyDescent="0.25">
      <c r="B747" s="5" t="str">
        <f t="shared" si="440"/>
        <v>SPS2</v>
      </c>
      <c r="C747" s="5" t="str">
        <f t="shared" si="491"/>
        <v>CH</v>
      </c>
      <c r="D747" t="s">
        <v>458</v>
      </c>
      <c r="E747" s="5" t="s">
        <v>442</v>
      </c>
      <c r="F747" s="18">
        <f t="shared" ref="F747:K747" si="494">IFERROR(F$734/F$733,0)*F741</f>
        <v>0</v>
      </c>
      <c r="G747" s="18">
        <f t="shared" si="494"/>
        <v>0</v>
      </c>
      <c r="H747" s="18">
        <f t="shared" si="494"/>
        <v>0</v>
      </c>
      <c r="I747" s="18">
        <f t="shared" si="494"/>
        <v>0</v>
      </c>
      <c r="J747" s="18">
        <f t="shared" si="494"/>
        <v>6.5716291868653909E-2</v>
      </c>
      <c r="K747" s="18">
        <f t="shared" si="494"/>
        <v>0.18743020840182359</v>
      </c>
    </row>
    <row r="748" spans="2:13" x14ac:dyDescent="0.25">
      <c r="B748" s="5" t="str">
        <f t="shared" si="440"/>
        <v>SPS2</v>
      </c>
      <c r="C748" s="5" t="str">
        <f t="shared" si="491"/>
        <v>CH</v>
      </c>
      <c r="D748" t="s">
        <v>459</v>
      </c>
      <c r="E748" s="5" t="s">
        <v>442</v>
      </c>
      <c r="F748" s="18">
        <f t="shared" ref="F748:K748" si="495">IFERROR(F$734/F$733,0)*F742</f>
        <v>0</v>
      </c>
      <c r="G748" s="18">
        <f t="shared" si="495"/>
        <v>0</v>
      </c>
      <c r="H748" s="18">
        <f t="shared" si="495"/>
        <v>0</v>
      </c>
      <c r="I748" s="18">
        <f t="shared" si="495"/>
        <v>0</v>
      </c>
      <c r="J748" s="18">
        <f t="shared" si="495"/>
        <v>2.3602115069428626E-2</v>
      </c>
      <c r="K748" s="18">
        <f t="shared" si="495"/>
        <v>0</v>
      </c>
    </row>
    <row r="749" spans="2:13" x14ac:dyDescent="0.25">
      <c r="B749" s="5" t="str">
        <f t="shared" si="440"/>
        <v>SPS2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496">IFERROR(G$735/G$733,0)*G737</f>
        <v>0</v>
      </c>
      <c r="H749" s="18">
        <f t="shared" si="496"/>
        <v>0</v>
      </c>
      <c r="I749" s="18">
        <f t="shared" si="496"/>
        <v>0</v>
      </c>
      <c r="J749" s="18">
        <f t="shared" si="496"/>
        <v>1.3470475377747378E-2</v>
      </c>
      <c r="K749" s="18">
        <f t="shared" si="496"/>
        <v>0.19533412550285092</v>
      </c>
    </row>
    <row r="750" spans="2:13" x14ac:dyDescent="0.25">
      <c r="B750" s="5" t="str">
        <f t="shared" si="440"/>
        <v>SPS2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497">IFERROR(F$735/F$733,0)*F738</f>
        <v>0</v>
      </c>
      <c r="G750" s="18">
        <f t="shared" si="497"/>
        <v>0</v>
      </c>
      <c r="H750" s="18">
        <f t="shared" si="497"/>
        <v>0</v>
      </c>
      <c r="I750" s="18">
        <f t="shared" si="497"/>
        <v>0</v>
      </c>
      <c r="J750" s="18">
        <f t="shared" si="497"/>
        <v>1.3470475377747378E-2</v>
      </c>
      <c r="K750" s="18">
        <f t="shared" si="497"/>
        <v>0.19533412550285092</v>
      </c>
    </row>
    <row r="751" spans="2:13" x14ac:dyDescent="0.25">
      <c r="B751" s="5" t="str">
        <f t="shared" si="440"/>
        <v>SPS2</v>
      </c>
      <c r="C751" s="5" t="str">
        <f t="shared" ref="C751:C754" si="498">C750</f>
        <v>CH</v>
      </c>
      <c r="D751" t="s">
        <v>937</v>
      </c>
      <c r="E751" s="5" t="s">
        <v>442</v>
      </c>
      <c r="F751" s="18">
        <f t="shared" ref="F751:K751" si="499">IFERROR(F$735/F$733,0)*F739</f>
        <v>0</v>
      </c>
      <c r="G751" s="18">
        <f t="shared" si="499"/>
        <v>0</v>
      </c>
      <c r="H751" s="18">
        <f t="shared" si="499"/>
        <v>0</v>
      </c>
      <c r="I751" s="18">
        <f t="shared" si="499"/>
        <v>0</v>
      </c>
      <c r="J751" s="18">
        <f t="shared" si="499"/>
        <v>0.16898647051898946</v>
      </c>
      <c r="K751" s="18">
        <f t="shared" si="499"/>
        <v>0.29584868823907795</v>
      </c>
    </row>
    <row r="752" spans="2:13" x14ac:dyDescent="0.25">
      <c r="B752" s="5" t="str">
        <f t="shared" si="440"/>
        <v>SPS2</v>
      </c>
      <c r="C752" s="5" t="str">
        <f t="shared" si="498"/>
        <v>CH</v>
      </c>
      <c r="D752" t="s">
        <v>461</v>
      </c>
      <c r="E752" s="5" t="s">
        <v>442</v>
      </c>
      <c r="F752" s="18">
        <f t="shared" ref="F752:K752" si="500">IFERROR(F$735/F$733,0)*F740</f>
        <v>0</v>
      </c>
      <c r="G752" s="18">
        <f t="shared" si="500"/>
        <v>0</v>
      </c>
      <c r="H752" s="18">
        <f t="shared" si="500"/>
        <v>0</v>
      </c>
      <c r="I752" s="18">
        <f t="shared" si="500"/>
        <v>0</v>
      </c>
      <c r="J752" s="18">
        <f t="shared" si="500"/>
        <v>0.10870158207172886</v>
      </c>
      <c r="K752" s="18">
        <f t="shared" si="500"/>
        <v>0.23471020123408975</v>
      </c>
    </row>
    <row r="753" spans="2:13" x14ac:dyDescent="0.25">
      <c r="B753" s="5" t="str">
        <f t="shared" si="440"/>
        <v>SPS2</v>
      </c>
      <c r="C753" s="5" t="str">
        <f t="shared" si="498"/>
        <v>CH</v>
      </c>
      <c r="D753" t="s">
        <v>462</v>
      </c>
      <c r="E753" s="5" t="s">
        <v>442</v>
      </c>
      <c r="F753" s="18">
        <f t="shared" ref="F753:K753" si="501">IFERROR(F$735/F$733,0)*F741</f>
        <v>0</v>
      </c>
      <c r="G753" s="18">
        <f t="shared" si="501"/>
        <v>0</v>
      </c>
      <c r="H753" s="18">
        <f t="shared" si="501"/>
        <v>0</v>
      </c>
      <c r="I753" s="18">
        <f t="shared" si="501"/>
        <v>0</v>
      </c>
      <c r="J753" s="18">
        <f t="shared" si="501"/>
        <v>4.4354791585297274E-2</v>
      </c>
      <c r="K753" s="18">
        <f t="shared" si="501"/>
        <v>6.113848700498823E-2</v>
      </c>
    </row>
    <row r="754" spans="2:13" x14ac:dyDescent="0.25">
      <c r="B754" s="5" t="str">
        <f t="shared" si="440"/>
        <v>SPS2</v>
      </c>
      <c r="C754" s="5" t="str">
        <f t="shared" si="498"/>
        <v>CH</v>
      </c>
      <c r="D754" t="s">
        <v>463</v>
      </c>
      <c r="E754" s="5" t="s">
        <v>442</v>
      </c>
      <c r="F754" s="18">
        <f t="shared" ref="F754:K754" si="502">IFERROR(F$735/F$733,0)*F742</f>
        <v>0</v>
      </c>
      <c r="G754" s="18">
        <f t="shared" si="502"/>
        <v>0</v>
      </c>
      <c r="H754" s="18">
        <f t="shared" si="502"/>
        <v>0</v>
      </c>
      <c r="I754" s="18">
        <f t="shared" si="502"/>
        <v>0</v>
      </c>
      <c r="J754" s="18">
        <f t="shared" si="502"/>
        <v>1.5930096861963342E-2</v>
      </c>
      <c r="K754" s="18">
        <f t="shared" si="502"/>
        <v>0</v>
      </c>
    </row>
    <row r="755" spans="2:13" x14ac:dyDescent="0.25">
      <c r="B755" s="5" t="str">
        <f t="shared" si="440"/>
        <v>SPS2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03">IFERROR(G$736/G$733,0)*G737</f>
        <v>0</v>
      </c>
      <c r="H755" s="18">
        <f t="shared" si="503"/>
        <v>0</v>
      </c>
      <c r="I755" s="18">
        <f t="shared" si="503"/>
        <v>0</v>
      </c>
      <c r="J755" s="18">
        <f t="shared" si="503"/>
        <v>1.7077700309057226E-7</v>
      </c>
      <c r="K755" s="18">
        <f t="shared" si="503"/>
        <v>2.6562555493776626E-5</v>
      </c>
    </row>
    <row r="756" spans="2:13" x14ac:dyDescent="0.25">
      <c r="B756" s="5" t="str">
        <f t="shared" ref="B756:B819" si="504">B755</f>
        <v>SPS2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05">IFERROR(F$736/F$733,0)*F738</f>
        <v>0</v>
      </c>
      <c r="G756" s="18">
        <f t="shared" si="505"/>
        <v>0</v>
      </c>
      <c r="H756" s="18">
        <f t="shared" si="505"/>
        <v>0</v>
      </c>
      <c r="I756" s="18">
        <f t="shared" si="505"/>
        <v>0</v>
      </c>
      <c r="J756" s="18">
        <f t="shared" si="505"/>
        <v>1.7077700309057226E-7</v>
      </c>
      <c r="K756" s="18">
        <f t="shared" si="505"/>
        <v>2.6562555493776626E-5</v>
      </c>
    </row>
    <row r="757" spans="2:13" x14ac:dyDescent="0.25">
      <c r="B757" s="5" t="str">
        <f t="shared" si="504"/>
        <v>SPS2</v>
      </c>
      <c r="C757" s="5" t="str">
        <f t="shared" ref="C757:C760" si="506">C756</f>
        <v>CH</v>
      </c>
      <c r="D757" t="s">
        <v>939</v>
      </c>
      <c r="E757" s="5" t="s">
        <v>442</v>
      </c>
      <c r="F757" s="18">
        <f t="shared" ref="F757:K757" si="507">IFERROR(F$736/F$733,0)*F739</f>
        <v>0</v>
      </c>
      <c r="G757" s="18">
        <f t="shared" si="507"/>
        <v>0</v>
      </c>
      <c r="H757" s="18">
        <f t="shared" si="507"/>
        <v>0</v>
      </c>
      <c r="I757" s="18">
        <f t="shared" si="507"/>
        <v>0</v>
      </c>
      <c r="J757" s="18">
        <f t="shared" si="507"/>
        <v>2.1423893506950868E-6</v>
      </c>
      <c r="K757" s="18">
        <f t="shared" si="507"/>
        <v>4.0231051173886324E-5</v>
      </c>
    </row>
    <row r="758" spans="2:13" x14ac:dyDescent="0.25">
      <c r="B758" s="5" t="str">
        <f t="shared" si="504"/>
        <v>SPS2</v>
      </c>
      <c r="C758" s="5" t="str">
        <f t="shared" si="506"/>
        <v>CH</v>
      </c>
      <c r="D758" t="s">
        <v>465</v>
      </c>
      <c r="E758" s="5" t="s">
        <v>442</v>
      </c>
      <c r="F758" s="18">
        <f t="shared" ref="F758:K758" si="508">IFERROR(F$736/F$733,0)*F740</f>
        <v>0</v>
      </c>
      <c r="G758" s="18">
        <f t="shared" si="508"/>
        <v>0</v>
      </c>
      <c r="H758" s="18">
        <f t="shared" si="508"/>
        <v>0</v>
      </c>
      <c r="I758" s="18">
        <f t="shared" si="508"/>
        <v>0</v>
      </c>
      <c r="J758" s="18">
        <f t="shared" si="508"/>
        <v>1.3781050702991658E-6</v>
      </c>
      <c r="K758" s="18">
        <f t="shared" si="508"/>
        <v>3.191712010989598E-5</v>
      </c>
    </row>
    <row r="759" spans="2:13" x14ac:dyDescent="0.25">
      <c r="B759" s="5" t="str">
        <f t="shared" si="504"/>
        <v>SPS2</v>
      </c>
      <c r="C759" s="5" t="str">
        <f t="shared" si="506"/>
        <v>CH</v>
      </c>
      <c r="D759" t="s">
        <v>466</v>
      </c>
      <c r="E759" s="5" t="s">
        <v>442</v>
      </c>
      <c r="F759" s="18">
        <f t="shared" ref="F759:K759" si="509">IFERROR(F$736/F$733,0)*F741</f>
        <v>0</v>
      </c>
      <c r="G759" s="18">
        <f t="shared" si="509"/>
        <v>0</v>
      </c>
      <c r="H759" s="18">
        <f t="shared" si="509"/>
        <v>0</v>
      </c>
      <c r="I759" s="18">
        <f t="shared" si="509"/>
        <v>0</v>
      </c>
      <c r="J759" s="18">
        <f t="shared" si="509"/>
        <v>5.623245035700221E-7</v>
      </c>
      <c r="K759" s="18">
        <f t="shared" si="509"/>
        <v>8.3139310639903457E-6</v>
      </c>
    </row>
    <row r="760" spans="2:13" x14ac:dyDescent="0.25">
      <c r="B760" s="5" t="str">
        <f t="shared" si="504"/>
        <v>SPS2</v>
      </c>
      <c r="C760" s="5" t="str">
        <f t="shared" si="506"/>
        <v>CH</v>
      </c>
      <c r="D760" t="s">
        <v>467</v>
      </c>
      <c r="E760" s="5" t="s">
        <v>442</v>
      </c>
      <c r="F760" s="18">
        <f t="shared" ref="F760:K760" si="510">IFERROR(F$736/F$733,0)*F742</f>
        <v>0</v>
      </c>
      <c r="G760" s="18">
        <f t="shared" si="510"/>
        <v>0</v>
      </c>
      <c r="H760" s="18">
        <f t="shared" si="510"/>
        <v>0</v>
      </c>
      <c r="I760" s="18">
        <f t="shared" si="510"/>
        <v>0</v>
      </c>
      <c r="J760" s="18">
        <f t="shared" si="510"/>
        <v>2.0195977682589905E-7</v>
      </c>
      <c r="K760" s="18">
        <f t="shared" si="510"/>
        <v>0</v>
      </c>
    </row>
    <row r="761" spans="2:13" x14ac:dyDescent="0.25">
      <c r="B761" s="9" t="str">
        <f t="shared" si="504"/>
        <v>SPS2</v>
      </c>
      <c r="C761" s="9" t="str">
        <f t="shared" ref="C761:C775" si="511">C760</f>
        <v>CH</v>
      </c>
      <c r="D761" s="2" t="s">
        <v>496</v>
      </c>
      <c r="E761" s="9" t="s">
        <v>8</v>
      </c>
      <c r="F761" s="17">
        <f t="shared" ref="F761:K761" si="512">F762+F766+F776+F787+F789+F801+F803+F805+F809+F811+F813</f>
        <v>142.21741711816313</v>
      </c>
      <c r="G761" s="17">
        <f t="shared" si="512"/>
        <v>140.2483651296038</v>
      </c>
      <c r="H761" s="17">
        <f t="shared" si="512"/>
        <v>141.68467685592901</v>
      </c>
      <c r="I761" s="17">
        <f t="shared" si="512"/>
        <v>144.69814674320617</v>
      </c>
      <c r="J761" s="17">
        <f t="shared" si="512"/>
        <v>145.32390041764396</v>
      </c>
      <c r="K761" s="17">
        <f t="shared" si="512"/>
        <v>144.17636176688319</v>
      </c>
    </row>
    <row r="762" spans="2:13" x14ac:dyDescent="0.25">
      <c r="B762" s="5" t="str">
        <f t="shared" si="504"/>
        <v>SPS2</v>
      </c>
      <c r="C762" s="5" t="str">
        <f t="shared" si="511"/>
        <v>CH</v>
      </c>
      <c r="D762" t="s">
        <v>940</v>
      </c>
      <c r="E762" t="s">
        <v>8</v>
      </c>
      <c r="F762" s="18">
        <f>[1]Industry!B$11</f>
        <v>60.0700184608434</v>
      </c>
      <c r="G762" s="18">
        <f>[1]Industry!C$11</f>
        <v>62.621539858066107</v>
      </c>
      <c r="H762" s="18">
        <f>[1]Industry!D$11</f>
        <v>68.591954818419964</v>
      </c>
      <c r="I762" s="18">
        <f>[1]Industry!E$11</f>
        <v>70.002328243113809</v>
      </c>
      <c r="J762" s="18">
        <f>[1]Industry!F$11</f>
        <v>72.096785663342246</v>
      </c>
      <c r="K762" s="18">
        <f>[1]Industry!G$11</f>
        <v>76.093172721494227</v>
      </c>
    </row>
    <row r="763" spans="2:13" x14ac:dyDescent="0.25">
      <c r="B763" s="5" t="str">
        <f t="shared" si="504"/>
        <v>SPS2</v>
      </c>
      <c r="C763" s="5" t="str">
        <f t="shared" si="511"/>
        <v>CH</v>
      </c>
      <c r="D763" t="s">
        <v>758</v>
      </c>
      <c r="E763" t="s">
        <v>8</v>
      </c>
      <c r="F763" s="1">
        <f t="shared" ref="F763:J763" si="513">F762-F764-F765</f>
        <v>11.646944875218708</v>
      </c>
      <c r="G763" s="1">
        <f t="shared" si="513"/>
        <v>12.258978535956402</v>
      </c>
      <c r="H763" s="1">
        <f t="shared" si="513"/>
        <v>16.091396222636916</v>
      </c>
      <c r="I763" s="1">
        <f t="shared" si="513"/>
        <v>16.070117429278476</v>
      </c>
      <c r="J763" s="1">
        <f t="shared" si="513"/>
        <v>16.027725325999945</v>
      </c>
      <c r="K763" s="1">
        <f>K762-K764-K765</f>
        <v>15.985554434872547</v>
      </c>
      <c r="L763" s="1"/>
      <c r="M763" s="1"/>
    </row>
    <row r="764" spans="2:13" x14ac:dyDescent="0.25">
      <c r="B764" s="5" t="str">
        <f t="shared" si="504"/>
        <v>SPS2</v>
      </c>
      <c r="C764" s="5" t="str">
        <f t="shared" si="511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0.35967593345369325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0.45106304356058097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1.0012950580214144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0.98215541960306618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1.507914482819245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1.7823509282961956</v>
      </c>
    </row>
    <row r="765" spans="2:13" x14ac:dyDescent="0.25">
      <c r="B765" s="5" t="str">
        <f t="shared" si="504"/>
        <v>SPS2</v>
      </c>
      <c r="C765" s="5" t="str">
        <f t="shared" si="511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49.911498278549125</v>
      </c>
      <c r="H765" s="1">
        <f>[1]Industry!D$11-[1]Industry!D$33</f>
        <v>51.499263537761635</v>
      </c>
      <c r="I765" s="1">
        <f>[1]Industry!E$11-[1]Industry!E$33</f>
        <v>52.950055394232272</v>
      </c>
      <c r="J765" s="1">
        <f>[1]Industry!F$11-[1]Industry!F$33</f>
        <v>54.561145854523055</v>
      </c>
      <c r="K765" s="1">
        <f>[1]Industry!G$11-[1]Industry!G$33</f>
        <v>58.325267358325483</v>
      </c>
    </row>
    <row r="766" spans="2:13" x14ac:dyDescent="0.25">
      <c r="B766" s="5" t="str">
        <f t="shared" si="504"/>
        <v>SPS2</v>
      </c>
      <c r="C766" s="5" t="str">
        <f t="shared" si="511"/>
        <v>CH</v>
      </c>
      <c r="D766" t="s">
        <v>469</v>
      </c>
      <c r="E766" t="s">
        <v>8</v>
      </c>
      <c r="F766" s="1">
        <f>SUM(F769,F774)</f>
        <v>11.627806799636922</v>
      </c>
      <c r="G766" s="1">
        <f t="shared" ref="G766:K766" si="514">SUM(G769,G774)</f>
        <v>7.9537191830524296</v>
      </c>
      <c r="H766" s="1">
        <f t="shared" si="514"/>
        <v>7.9344883163219171</v>
      </c>
      <c r="I766" s="1">
        <f t="shared" si="514"/>
        <v>6.8926766160903021</v>
      </c>
      <c r="J766" s="1">
        <f t="shared" si="514"/>
        <v>3.3311387446336669</v>
      </c>
      <c r="K766" s="1">
        <f t="shared" si="514"/>
        <v>0.2476025610822101</v>
      </c>
    </row>
    <row r="767" spans="2:13" x14ac:dyDescent="0.25">
      <c r="B767" s="5" t="str">
        <f t="shared" si="504"/>
        <v>SPS2</v>
      </c>
      <c r="C767" s="5" t="str">
        <f t="shared" si="511"/>
        <v>CH</v>
      </c>
      <c r="D767" t="s">
        <v>470</v>
      </c>
      <c r="E767" t="s">
        <v>8</v>
      </c>
      <c r="F767" s="1">
        <f>SUM(F771,F775)</f>
        <v>8.8978052891599297</v>
      </c>
      <c r="G767" s="1">
        <f t="shared" ref="G767:K767" si="515">SUM(G771,G775)</f>
        <v>7.9524270484763369</v>
      </c>
      <c r="H767" s="1">
        <f t="shared" si="515"/>
        <v>7.9329749765252258</v>
      </c>
      <c r="I767" s="1">
        <f t="shared" si="515"/>
        <v>6.8797029418201605</v>
      </c>
      <c r="J767" s="1">
        <f t="shared" si="515"/>
        <v>3.3295432648398284</v>
      </c>
      <c r="K767" s="1">
        <f t="shared" si="515"/>
        <v>0.2476025610822101</v>
      </c>
    </row>
    <row r="768" spans="2:13" x14ac:dyDescent="0.25">
      <c r="B768" s="5" t="str">
        <f t="shared" si="504"/>
        <v>SPS2</v>
      </c>
      <c r="C768" s="5" t="str">
        <f t="shared" si="511"/>
        <v>CH</v>
      </c>
      <c r="D768" t="s">
        <v>471</v>
      </c>
      <c r="E768" t="s">
        <v>8</v>
      </c>
      <c r="F768" s="1">
        <f>F773</f>
        <v>2.730001510476991</v>
      </c>
      <c r="G768" s="1">
        <f t="shared" ref="G768:K768" si="516">G773</f>
        <v>1.2921345760925566E-3</v>
      </c>
      <c r="H768" s="1">
        <f t="shared" si="516"/>
        <v>1.5133397966915719E-3</v>
      </c>
      <c r="I768" s="1">
        <f t="shared" si="516"/>
        <v>1.2973674270141426E-2</v>
      </c>
      <c r="J768" s="1">
        <f t="shared" si="516"/>
        <v>1.5954797938384419E-3</v>
      </c>
      <c r="K768" s="1">
        <f t="shared" si="516"/>
        <v>0</v>
      </c>
    </row>
    <row r="769" spans="2:11" x14ac:dyDescent="0.25">
      <c r="B769" s="5" t="str">
        <f t="shared" si="504"/>
        <v>SPS2</v>
      </c>
      <c r="C769" s="5" t="str">
        <f t="shared" si="511"/>
        <v>CH</v>
      </c>
      <c r="D769" t="s">
        <v>941</v>
      </c>
      <c r="E769" t="s">
        <v>8</v>
      </c>
      <c r="F769" s="1">
        <f>SUM(F770,F772)</f>
        <v>11.627806799636922</v>
      </c>
      <c r="G769" s="1">
        <f t="shared" ref="G769:K769" si="517">SUM(G770,G772)</f>
        <v>7.9537191830524296</v>
      </c>
      <c r="H769" s="1">
        <f t="shared" si="517"/>
        <v>7.934324374320993</v>
      </c>
      <c r="I769" s="1">
        <f t="shared" si="517"/>
        <v>6.8925254979575366</v>
      </c>
      <c r="J769" s="1">
        <f t="shared" si="517"/>
        <v>3.0867961041943084</v>
      </c>
      <c r="K769" s="1">
        <f t="shared" si="517"/>
        <v>0</v>
      </c>
    </row>
    <row r="770" spans="2:11" x14ac:dyDescent="0.25">
      <c r="B770" s="5" t="str">
        <f t="shared" si="504"/>
        <v>SPS2</v>
      </c>
      <c r="C770" s="5" t="str">
        <f t="shared" si="511"/>
        <v>CH</v>
      </c>
      <c r="D770" t="s">
        <v>525</v>
      </c>
      <c r="E770" t="s">
        <v>8</v>
      </c>
      <c r="F770" s="1">
        <f>[1]Industry!B$34</f>
        <v>8.8978052891599297</v>
      </c>
      <c r="G770" s="1">
        <f>[1]Industry!C$34</f>
        <v>7.9524270484763369</v>
      </c>
      <c r="H770" s="1">
        <f>[1]Industry!D$34</f>
        <v>7.9328110345243017</v>
      </c>
      <c r="I770" s="1">
        <f>[1]Industry!E$34</f>
        <v>6.8795518236873949</v>
      </c>
      <c r="J770" s="1">
        <f>[1]Industry!F$34</f>
        <v>3.0852006244004699</v>
      </c>
      <c r="K770" s="1">
        <f>[1]Industry!G$34</f>
        <v>0</v>
      </c>
    </row>
    <row r="771" spans="2:11" x14ac:dyDescent="0.25">
      <c r="B771" s="5" t="str">
        <f t="shared" si="504"/>
        <v>SPS2</v>
      </c>
      <c r="C771" s="5" t="str">
        <f t="shared" si="511"/>
        <v>CH</v>
      </c>
      <c r="D771" t="s">
        <v>526</v>
      </c>
      <c r="E771" t="s">
        <v>8</v>
      </c>
      <c r="F771" s="1">
        <f>F770</f>
        <v>8.8978052891599297</v>
      </c>
      <c r="G771" s="1">
        <f t="shared" ref="G771:K771" si="518">G770</f>
        <v>7.9524270484763369</v>
      </c>
      <c r="H771" s="1">
        <f t="shared" si="518"/>
        <v>7.9328110345243017</v>
      </c>
      <c r="I771" s="1">
        <f t="shared" si="518"/>
        <v>6.8795518236873949</v>
      </c>
      <c r="J771" s="1">
        <f t="shared" si="518"/>
        <v>3.0852006244004699</v>
      </c>
      <c r="K771" s="1">
        <f t="shared" si="518"/>
        <v>0</v>
      </c>
    </row>
    <row r="772" spans="2:11" x14ac:dyDescent="0.25">
      <c r="B772" s="5" t="str">
        <f t="shared" si="504"/>
        <v>SPS2</v>
      </c>
      <c r="C772" s="5" t="str">
        <f t="shared" si="511"/>
        <v>CH</v>
      </c>
      <c r="D772" t="s">
        <v>527</v>
      </c>
      <c r="E772" t="s">
        <v>8</v>
      </c>
      <c r="F772" s="1">
        <f>[1]Industry!B$35</f>
        <v>2.730001510476991</v>
      </c>
      <c r="G772" s="1">
        <f>[1]Industry!C$35</f>
        <v>1.2921345760925566E-3</v>
      </c>
      <c r="H772" s="1">
        <f>[1]Industry!D$35</f>
        <v>1.5133397966915719E-3</v>
      </c>
      <c r="I772" s="1">
        <f>[1]Industry!E$35</f>
        <v>1.2973674270141426E-2</v>
      </c>
      <c r="J772" s="1">
        <f>[1]Industry!F$35</f>
        <v>1.5954797938384419E-3</v>
      </c>
      <c r="K772" s="1">
        <f>[1]Industry!G$35</f>
        <v>0</v>
      </c>
    </row>
    <row r="773" spans="2:11" x14ac:dyDescent="0.25">
      <c r="B773" s="5" t="str">
        <f t="shared" si="504"/>
        <v>SPS2</v>
      </c>
      <c r="C773" s="5" t="str">
        <f t="shared" si="511"/>
        <v>CH</v>
      </c>
      <c r="D773" t="s">
        <v>944</v>
      </c>
      <c r="E773" t="s">
        <v>8</v>
      </c>
      <c r="F773" s="1">
        <f>F772</f>
        <v>2.730001510476991</v>
      </c>
      <c r="G773" s="1">
        <f t="shared" ref="G773:K773" si="519">G772</f>
        <v>1.2921345760925566E-3</v>
      </c>
      <c r="H773" s="1">
        <f t="shared" si="519"/>
        <v>1.5133397966915719E-3</v>
      </c>
      <c r="I773" s="1">
        <f t="shared" si="519"/>
        <v>1.2973674270141426E-2</v>
      </c>
      <c r="J773" s="1">
        <f t="shared" si="519"/>
        <v>1.5954797938384419E-3</v>
      </c>
      <c r="K773" s="1">
        <f t="shared" si="519"/>
        <v>0</v>
      </c>
    </row>
    <row r="774" spans="2:11" x14ac:dyDescent="0.25">
      <c r="B774" s="5" t="str">
        <f t="shared" si="504"/>
        <v>SPS2</v>
      </c>
      <c r="C774" s="5" t="str">
        <f t="shared" si="511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1.639420009236819E-4</v>
      </c>
      <c r="I774" s="1">
        <f>[1]Industry!E$36</f>
        <v>1.5111813276551836E-4</v>
      </c>
      <c r="J774" s="1">
        <f>[1]Industry!F$36</f>
        <v>0.24434264043935852</v>
      </c>
      <c r="K774" s="1">
        <f>[1]Industry!G$36</f>
        <v>0.2476025610822101</v>
      </c>
    </row>
    <row r="775" spans="2:11" x14ac:dyDescent="0.25">
      <c r="B775" s="5" t="str">
        <f t="shared" si="504"/>
        <v>SPS2</v>
      </c>
      <c r="C775" s="5" t="str">
        <f t="shared" si="511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20">G774</f>
        <v>0</v>
      </c>
      <c r="H775" s="1">
        <f t="shared" si="520"/>
        <v>1.639420009236819E-4</v>
      </c>
      <c r="I775" s="1">
        <f t="shared" si="520"/>
        <v>1.5111813276551836E-4</v>
      </c>
      <c r="J775" s="1">
        <f t="shared" si="520"/>
        <v>0.24434264043935852</v>
      </c>
      <c r="K775" s="1">
        <f t="shared" si="520"/>
        <v>0.2476025610822101</v>
      </c>
    </row>
    <row r="776" spans="2:11" x14ac:dyDescent="0.25">
      <c r="B776" s="5" t="str">
        <f t="shared" si="504"/>
        <v>SPS2</v>
      </c>
      <c r="C776" s="5" t="str">
        <f t="shared" ref="C776:C777" si="521">C775</f>
        <v>CH</v>
      </c>
      <c r="D776" t="s">
        <v>472</v>
      </c>
      <c r="E776" t="s">
        <v>8</v>
      </c>
      <c r="F776" s="1">
        <f>SUM([1]Industry!B$37:B$39)</f>
        <v>35.989089893535755</v>
      </c>
      <c r="G776" s="1">
        <f>SUM([1]Industry!C$37:C$39)</f>
        <v>32.107073299902353</v>
      </c>
      <c r="H776" s="1">
        <f>SUM([1]Industry!D$37:D$39)</f>
        <v>33.374379249802466</v>
      </c>
      <c r="I776" s="1">
        <f>SUM([1]Industry!E$37:E$39)</f>
        <v>12.292170544420184</v>
      </c>
      <c r="J776" s="1">
        <f>SUM([1]Industry!F$37:F$39)</f>
        <v>10.640045788386828</v>
      </c>
      <c r="K776" s="1">
        <f>SUM([1]Industry!G$37:G$39)</f>
        <v>6.0496384689901817</v>
      </c>
    </row>
    <row r="777" spans="2:11" x14ac:dyDescent="0.25">
      <c r="B777" s="5" t="str">
        <f t="shared" si="504"/>
        <v>SPS2</v>
      </c>
      <c r="C777" s="5" t="str">
        <f t="shared" si="521"/>
        <v>CH</v>
      </c>
      <c r="D777" t="s">
        <v>678</v>
      </c>
      <c r="E777" t="s">
        <v>8</v>
      </c>
      <c r="F777" s="1">
        <f>SUM([1]Industry!B$37:B$38)-F778</f>
        <v>35.546956327226766</v>
      </c>
      <c r="G777" s="1">
        <f>SUM([1]Industry!C$37:C$38)-G778</f>
        <v>31.553169031325773</v>
      </c>
      <c r="H777" s="1">
        <f>SUM([1]Industry!D$37:D$38)-H778</f>
        <v>30.547464534565073</v>
      </c>
      <c r="I777" s="1">
        <f>SUM([1]Industry!E$37:E$38)-I778</f>
        <v>9.4652502895984956</v>
      </c>
      <c r="J777" s="1">
        <f>SUM([1]Industry!F$37:F$38)-J778</f>
        <v>4.5934416641690827</v>
      </c>
      <c r="K777" s="1">
        <f>SUM([1]Industry!G$37:G$38)-K778</f>
        <v>3.0261128588012906E-3</v>
      </c>
    </row>
    <row r="778" spans="2:11" x14ac:dyDescent="0.25">
      <c r="B778" s="5" t="str">
        <f t="shared" si="504"/>
        <v>SPS2</v>
      </c>
      <c r="C778" s="5" t="str">
        <f t="shared" ref="C778" si="522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5.4069340732408981E-3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1.8388306638871376E-3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 t="shared" si="504"/>
        <v>SPS2</v>
      </c>
      <c r="C779" s="5" t="str">
        <f>C777</f>
        <v>CH</v>
      </c>
      <c r="D779" t="s">
        <v>473</v>
      </c>
      <c r="E779" t="s">
        <v>8</v>
      </c>
      <c r="F779" s="1">
        <f t="shared" ref="F779:K779" si="523">F776-F777</f>
        <v>0.44213356630898915</v>
      </c>
      <c r="G779" s="1">
        <f t="shared" si="523"/>
        <v>0.55390426857658071</v>
      </c>
      <c r="H779" s="1">
        <f t="shared" si="523"/>
        <v>2.8269147152373932</v>
      </c>
      <c r="I779" s="1">
        <f t="shared" si="523"/>
        <v>2.8269202548216885</v>
      </c>
      <c r="J779" s="1">
        <f t="shared" si="523"/>
        <v>6.0466041242177457</v>
      </c>
      <c r="K779" s="1">
        <f t="shared" si="523"/>
        <v>6.04661235613138</v>
      </c>
    </row>
    <row r="780" spans="2:11" x14ac:dyDescent="0.25">
      <c r="B780" s="5" t="str">
        <f t="shared" si="504"/>
        <v>SPS2</v>
      </c>
      <c r="C780" s="5" t="str">
        <f t="shared" ref="C780:C788" si="524">C779</f>
        <v>CH</v>
      </c>
      <c r="D780" t="s">
        <v>945</v>
      </c>
      <c r="E780" t="s">
        <v>8</v>
      </c>
      <c r="F780" s="1">
        <f>[1]Industry!B$37</f>
        <v>35.244136281074006</v>
      </c>
      <c r="G780" s="1">
        <f>[1]Industry!C$37</f>
        <v>31.554635597617704</v>
      </c>
      <c r="H780" s="1">
        <f>[1]Industry!D$37</f>
        <v>30.546977871291336</v>
      </c>
      <c r="I780" s="1">
        <f>[1]Industry!E$37</f>
        <v>9.4648062858647339</v>
      </c>
      <c r="J780" s="1">
        <f>[1]Industry!F$37</f>
        <v>3.388435266869501</v>
      </c>
      <c r="K780" s="1">
        <f>[1]Industry!G$37</f>
        <v>9.7982848754239889E-4</v>
      </c>
    </row>
    <row r="781" spans="2:11" x14ac:dyDescent="0.25">
      <c r="B781" s="5" t="str">
        <f t="shared" si="504"/>
        <v>SPS2</v>
      </c>
      <c r="C781" s="5" t="str">
        <f t="shared" si="524"/>
        <v>CH</v>
      </c>
      <c r="D781" t="s">
        <v>679</v>
      </c>
      <c r="E781" t="s">
        <v>8</v>
      </c>
      <c r="F781" s="1">
        <f>[1]Industry!B$37*F777/SUM(F777:F778)</f>
        <v>35.238776223292767</v>
      </c>
      <c r="G781" s="1">
        <f>[1]Industry!C$37*G777/SUM(G777:G778)</f>
        <v>31.552796788647083</v>
      </c>
      <c r="H781" s="1">
        <f>[1]Industry!D$37*H777/SUM(H777:H778)</f>
        <v>30.546977871291336</v>
      </c>
      <c r="I781" s="1">
        <f>[1]Industry!E$37*I777/SUM(I777:I778)</f>
        <v>9.4648062858647339</v>
      </c>
      <c r="J781" s="1">
        <f>[1]Industry!F$37*J777/SUM(J777:J778)</f>
        <v>3.388435266869501</v>
      </c>
      <c r="K781" s="1">
        <f>[1]Industry!G$37*K777/SUM(K777:K778)</f>
        <v>9.7982848754239889E-4</v>
      </c>
    </row>
    <row r="782" spans="2:11" x14ac:dyDescent="0.25">
      <c r="B782" s="5" t="str">
        <f t="shared" si="504"/>
        <v>SPS2</v>
      </c>
      <c r="C782" s="5" t="str">
        <f t="shared" ref="C782" si="525">C781</f>
        <v>CH</v>
      </c>
      <c r="D782" t="s">
        <v>723</v>
      </c>
      <c r="E782" t="s">
        <v>8</v>
      </c>
      <c r="F782" s="1">
        <f>F780-F781</f>
        <v>5.3600577812389361E-3</v>
      </c>
      <c r="G782" s="1">
        <f t="shared" ref="G782:K782" si="526">G780-G781</f>
        <v>1.8388089706213862E-3</v>
      </c>
      <c r="H782" s="1">
        <f t="shared" si="526"/>
        <v>0</v>
      </c>
      <c r="I782" s="1">
        <f t="shared" si="526"/>
        <v>0</v>
      </c>
      <c r="J782" s="1">
        <f t="shared" si="526"/>
        <v>0</v>
      </c>
      <c r="K782" s="1">
        <f t="shared" si="526"/>
        <v>0</v>
      </c>
    </row>
    <row r="783" spans="2:11" x14ac:dyDescent="0.25">
      <c r="B783" s="5" t="str">
        <f t="shared" si="504"/>
        <v>SPS2</v>
      </c>
      <c r="C783" s="5" t="str">
        <f>C781</f>
        <v>CH</v>
      </c>
      <c r="D783" t="s">
        <v>946</v>
      </c>
      <c r="E783" t="s">
        <v>8</v>
      </c>
      <c r="F783" s="1">
        <f>SUM(F784:F786)</f>
        <v>0.74495361246175129</v>
      </c>
      <c r="G783" s="1">
        <f t="shared" ref="G783:K783" si="527">SUM(G784:G786)</f>
        <v>0.55243770228464972</v>
      </c>
      <c r="H783" s="1">
        <f t="shared" si="527"/>
        <v>2.8274013785111287</v>
      </c>
      <c r="I783" s="1">
        <f t="shared" si="527"/>
        <v>2.8273642585554497</v>
      </c>
      <c r="J783" s="1">
        <f t="shared" si="527"/>
        <v>7.2516105215173283</v>
      </c>
      <c r="K783" s="1">
        <f t="shared" si="527"/>
        <v>6.048658640502639</v>
      </c>
    </row>
    <row r="784" spans="2:11" x14ac:dyDescent="0.25">
      <c r="B784" s="5" t="str">
        <f t="shared" si="504"/>
        <v>SPS2</v>
      </c>
      <c r="C784" s="5" t="str">
        <f t="shared" si="524"/>
        <v>CH</v>
      </c>
      <c r="D784" t="s">
        <v>680</v>
      </c>
      <c r="E784" t="s">
        <v>8</v>
      </c>
      <c r="F784" s="1">
        <f>[1]Industry!B$38*F777/SUM(F777:F778)</f>
        <v>0.30818010393400014</v>
      </c>
      <c r="G784" s="1">
        <f>[1]Industry!C$38*G777/SUM(G777:G778)</f>
        <v>3.7224267868790156E-4</v>
      </c>
      <c r="H784" s="1">
        <f>[1]Industry!D$38*H777/SUM(H777:H778)</f>
        <v>4.8666327373621493E-4</v>
      </c>
      <c r="I784" s="1">
        <f>[1]Industry!E$38*I777/SUM(I777:I778)</f>
        <v>4.440037337617889E-4</v>
      </c>
      <c r="J784" s="1">
        <f>[1]Industry!F$38*J777/SUM(J777:J778)</f>
        <v>1.2050063972995817</v>
      </c>
      <c r="K784" s="1">
        <f>[1]Industry!G$38*K777/SUM(K777:K778)</f>
        <v>2.0462843712588919E-3</v>
      </c>
    </row>
    <row r="785" spans="2:13" x14ac:dyDescent="0.25">
      <c r="B785" s="5" t="str">
        <f t="shared" si="504"/>
        <v>SPS2</v>
      </c>
      <c r="C785" s="5" t="str">
        <f t="shared" ref="C785" si="528">C784</f>
        <v>CH</v>
      </c>
      <c r="D785" t="s">
        <v>724</v>
      </c>
      <c r="E785" t="s">
        <v>8</v>
      </c>
      <c r="F785" s="1">
        <f>[1]Industry!B$38-F784</f>
        <v>4.6876292004227604E-5</v>
      </c>
      <c r="G785" s="1">
        <f>[1]Industry!C$38-G784</f>
        <v>2.1693264828578918E-8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 t="shared" si="504"/>
        <v>SPS2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0.43672663223574698</v>
      </c>
      <c r="G786" s="1">
        <f>[1]Industry!C$39</f>
        <v>0.55206543791269702</v>
      </c>
      <c r="H786" s="1">
        <f>[1]Industry!D$39</f>
        <v>2.8269147152373924</v>
      </c>
      <c r="I786" s="1">
        <f>[1]Industry!E$39</f>
        <v>2.8269202548216881</v>
      </c>
      <c r="J786" s="1">
        <f>[1]Industry!F$39</f>
        <v>6.0466041242177466</v>
      </c>
      <c r="K786" s="1">
        <f>[1]Industry!G$39</f>
        <v>6.04661235613138</v>
      </c>
    </row>
    <row r="787" spans="2:13" x14ac:dyDescent="0.25">
      <c r="B787" s="5" t="str">
        <f t="shared" si="504"/>
        <v>SPS2</v>
      </c>
      <c r="C787" s="5" t="str">
        <f t="shared" si="524"/>
        <v>CH</v>
      </c>
      <c r="D787" t="s">
        <v>947</v>
      </c>
      <c r="E787" t="s">
        <v>8</v>
      </c>
      <c r="F787" s="1">
        <f>[1]Industry!B$18</f>
        <v>3.5600031186339249</v>
      </c>
      <c r="G787" s="1">
        <f>[1]Industry!C$18</f>
        <v>3.4647171643550578</v>
      </c>
      <c r="H787" s="1">
        <f>[1]Industry!D$18</f>
        <v>2.5284504089767169E-3</v>
      </c>
      <c r="I787" s="1">
        <f>[1]Industry!E$18</f>
        <v>3.0219355950569904</v>
      </c>
      <c r="J787" s="1">
        <f>[1]Industry!F$18</f>
        <v>1.3360185557488916E-3</v>
      </c>
      <c r="K787" s="1">
        <f>[1]Industry!G$18</f>
        <v>0</v>
      </c>
    </row>
    <row r="788" spans="2:13" x14ac:dyDescent="0.25">
      <c r="B788" s="5" t="str">
        <f t="shared" si="504"/>
        <v>SPS2</v>
      </c>
      <c r="C788" s="5" t="str">
        <f t="shared" si="524"/>
        <v>CH</v>
      </c>
      <c r="D788" t="s">
        <v>948</v>
      </c>
      <c r="E788" t="s">
        <v>8</v>
      </c>
      <c r="F788" s="1">
        <f>F787</f>
        <v>3.5600031186339249</v>
      </c>
      <c r="G788" s="1">
        <f t="shared" ref="G788:K788" si="529">G787</f>
        <v>3.4647171643550578</v>
      </c>
      <c r="H788" s="1">
        <f t="shared" si="529"/>
        <v>2.5284504089767169E-3</v>
      </c>
      <c r="I788" s="1">
        <f t="shared" si="529"/>
        <v>3.0219355950569904</v>
      </c>
      <c r="J788" s="1">
        <f t="shared" si="529"/>
        <v>1.3360185557488916E-3</v>
      </c>
      <c r="K788" s="1">
        <f t="shared" si="529"/>
        <v>0</v>
      </c>
    </row>
    <row r="789" spans="2:13" x14ac:dyDescent="0.25">
      <c r="B789" s="5" t="str">
        <f t="shared" si="504"/>
        <v>SPS2</v>
      </c>
      <c r="C789" s="5" t="str">
        <f t="shared" ref="C789:C790" si="530">C788</f>
        <v>CH</v>
      </c>
      <c r="D789" t="s">
        <v>949</v>
      </c>
      <c r="E789" t="s">
        <v>8</v>
      </c>
      <c r="F789" s="1">
        <f>[1]Industry!B$19</f>
        <v>12.728655375668403</v>
      </c>
      <c r="G789" s="1">
        <f>[1]Industry!C$19</f>
        <v>13.638430408614038</v>
      </c>
      <c r="H789" s="1">
        <f>[1]Industry!D$19</f>
        <v>13.407411036486472</v>
      </c>
      <c r="I789" s="1">
        <f>[1]Industry!E$19</f>
        <v>14.940859314859296</v>
      </c>
      <c r="J789" s="1">
        <f>[1]Industry!F$19</f>
        <v>18.260463156323013</v>
      </c>
      <c r="K789" s="1">
        <f>[1]Industry!G$19</f>
        <v>27.135578968612844</v>
      </c>
    </row>
    <row r="790" spans="2:13" x14ac:dyDescent="0.25">
      <c r="B790" s="5" t="str">
        <f t="shared" si="504"/>
        <v>SPS2</v>
      </c>
      <c r="C790" s="5" t="str">
        <f t="shared" si="530"/>
        <v>CH</v>
      </c>
      <c r="D790" t="s">
        <v>950</v>
      </c>
      <c r="E790" t="s">
        <v>8</v>
      </c>
      <c r="F790" s="1">
        <f>SUM(F791:F799)</f>
        <v>4.2954545826909669</v>
      </c>
      <c r="G790" s="1">
        <f t="shared" ref="G790:K790" si="531">SUM(G791:G799)</f>
        <v>5.6314109507739563</v>
      </c>
      <c r="H790" s="1">
        <f t="shared" si="531"/>
        <v>6.0098588391527539</v>
      </c>
      <c r="I790" s="1">
        <f t="shared" si="531"/>
        <v>7.4866225333304213</v>
      </c>
      <c r="J790" s="1">
        <f t="shared" si="531"/>
        <v>8.0939539039878081</v>
      </c>
      <c r="K790" s="1">
        <f t="shared" si="531"/>
        <v>14.429835446795657</v>
      </c>
      <c r="M790" s="1"/>
    </row>
    <row r="791" spans="2:13" x14ac:dyDescent="0.25">
      <c r="B791" s="5" t="str">
        <f t="shared" si="504"/>
        <v>SPS2</v>
      </c>
      <c r="C791" s="5" t="str">
        <f t="shared" ref="C791:C808" si="532">C790</f>
        <v>CH</v>
      </c>
      <c r="D791" t="s">
        <v>481</v>
      </c>
      <c r="E791" t="s">
        <v>8</v>
      </c>
      <c r="F791" s="1">
        <f>F233</f>
        <v>0.9293460171680572</v>
      </c>
      <c r="G791" s="1">
        <f t="shared" ref="G791:K791" si="533">G233</f>
        <v>2.0701600906023936</v>
      </c>
      <c r="H791" s="1">
        <f t="shared" si="533"/>
        <v>3.7064619917571984E-2</v>
      </c>
      <c r="I791" s="1">
        <f t="shared" si="533"/>
        <v>1.3039144077292872</v>
      </c>
      <c r="J791" s="1">
        <f t="shared" si="533"/>
        <v>4.0888413227688894E-2</v>
      </c>
      <c r="K791" s="1">
        <f t="shared" si="533"/>
        <v>1.0059270856719413E-3</v>
      </c>
    </row>
    <row r="792" spans="2:13" x14ac:dyDescent="0.25">
      <c r="B792" s="5" t="str">
        <f t="shared" si="504"/>
        <v>SPS2</v>
      </c>
      <c r="C792" s="5" t="str">
        <f t="shared" si="532"/>
        <v>CH</v>
      </c>
      <c r="D792" t="s">
        <v>482</v>
      </c>
      <c r="E792" t="s">
        <v>8</v>
      </c>
      <c r="F792" s="1">
        <f>F239</f>
        <v>0.7717780267247123</v>
      </c>
      <c r="G792" s="1">
        <f t="shared" ref="G792:K792" si="534">G239</f>
        <v>0.24059059071818856</v>
      </c>
      <c r="H792" s="1">
        <f t="shared" si="534"/>
        <v>5.7328195751816524E-2</v>
      </c>
      <c r="I792" s="1">
        <f t="shared" si="534"/>
        <v>0.43477383918810847</v>
      </c>
      <c r="J792" s="1">
        <f t="shared" si="534"/>
        <v>1.9401808606953228</v>
      </c>
      <c r="K792" s="1">
        <f t="shared" si="534"/>
        <v>0.91373965400640556</v>
      </c>
    </row>
    <row r="793" spans="2:13" x14ac:dyDescent="0.25">
      <c r="B793" s="5" t="str">
        <f t="shared" si="504"/>
        <v>SPS2</v>
      </c>
      <c r="C793" s="5" t="str">
        <f t="shared" si="532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35">G240</f>
        <v>0</v>
      </c>
      <c r="H793" s="1">
        <f t="shared" si="535"/>
        <v>0</v>
      </c>
      <c r="I793" s="1">
        <f t="shared" si="535"/>
        <v>0</v>
      </c>
      <c r="J793" s="1">
        <f t="shared" si="535"/>
        <v>1.745974147650504E-3</v>
      </c>
      <c r="K793" s="1">
        <f t="shared" si="535"/>
        <v>0.52832818487068867</v>
      </c>
    </row>
    <row r="794" spans="2:13" x14ac:dyDescent="0.25">
      <c r="B794" s="5" t="str">
        <f t="shared" si="504"/>
        <v>SPS2</v>
      </c>
      <c r="C794" s="5" t="str">
        <f t="shared" si="532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36">G241</f>
        <v>0</v>
      </c>
      <c r="H794" s="1">
        <f t="shared" si="536"/>
        <v>0</v>
      </c>
      <c r="I794" s="1">
        <f t="shared" si="536"/>
        <v>6.2576601987214379E-4</v>
      </c>
      <c r="J794" s="1">
        <f t="shared" si="536"/>
        <v>2.2248826899867046E-3</v>
      </c>
      <c r="K794" s="1">
        <f t="shared" si="536"/>
        <v>2.9704773838744227E-4</v>
      </c>
    </row>
    <row r="795" spans="2:13" x14ac:dyDescent="0.25">
      <c r="B795" s="5" t="str">
        <f t="shared" si="504"/>
        <v>SPS2</v>
      </c>
      <c r="C795" s="5" t="str">
        <f t="shared" si="532"/>
        <v>CH</v>
      </c>
      <c r="D795" t="s">
        <v>485</v>
      </c>
      <c r="E795" t="s">
        <v>8</v>
      </c>
      <c r="F795" s="1">
        <f>F272</f>
        <v>1.9347926093408205</v>
      </c>
      <c r="G795" s="1">
        <f t="shared" ref="G795:K795" si="537">G272</f>
        <v>1.9372794729880576</v>
      </c>
      <c r="H795" s="1">
        <f t="shared" si="537"/>
        <v>2.550289323613431</v>
      </c>
      <c r="I795" s="1">
        <f t="shared" si="537"/>
        <v>2.4032644078449863</v>
      </c>
      <c r="J795" s="1">
        <f t="shared" si="537"/>
        <v>0.68447770864401491</v>
      </c>
      <c r="K795" s="1">
        <f t="shared" si="537"/>
        <v>1.5279966494663455E-4</v>
      </c>
    </row>
    <row r="796" spans="2:13" x14ac:dyDescent="0.25">
      <c r="B796" s="5" t="str">
        <f t="shared" si="504"/>
        <v>SPS2</v>
      </c>
      <c r="C796" s="5" t="str">
        <f t="shared" si="532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38">G273</f>
        <v>0</v>
      </c>
      <c r="H796" s="1">
        <f t="shared" si="538"/>
        <v>0</v>
      </c>
      <c r="I796" s="1">
        <f t="shared" si="538"/>
        <v>0</v>
      </c>
      <c r="J796" s="1">
        <f t="shared" si="538"/>
        <v>0.8781406590761488</v>
      </c>
      <c r="K796" s="1">
        <f t="shared" si="538"/>
        <v>2.215738814680714</v>
      </c>
    </row>
    <row r="797" spans="2:13" x14ac:dyDescent="0.25">
      <c r="B797" s="5" t="str">
        <f t="shared" si="504"/>
        <v>SPS2</v>
      </c>
      <c r="C797" s="5" t="str">
        <f t="shared" si="532"/>
        <v>CH</v>
      </c>
      <c r="D797" t="s">
        <v>487</v>
      </c>
      <c r="E797" t="s">
        <v>8</v>
      </c>
      <c r="F797" s="1">
        <f>F281</f>
        <v>0.65953792945737721</v>
      </c>
      <c r="G797" s="1">
        <f t="shared" ref="G797:K797" si="539">G281</f>
        <v>1.3833807964653162</v>
      </c>
      <c r="H797" s="1">
        <f t="shared" si="539"/>
        <v>3.365176699869934</v>
      </c>
      <c r="I797" s="1">
        <f t="shared" si="539"/>
        <v>2.6661378601675492</v>
      </c>
      <c r="J797" s="1">
        <f t="shared" si="539"/>
        <v>2.0812137060106384</v>
      </c>
      <c r="K797" s="1">
        <f t="shared" si="539"/>
        <v>1.3483135911265265E-3</v>
      </c>
    </row>
    <row r="798" spans="2:13" x14ac:dyDescent="0.25">
      <c r="B798" s="5" t="str">
        <f t="shared" si="504"/>
        <v>SPS2</v>
      </c>
      <c r="C798" s="5" t="str">
        <f t="shared" si="532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40">G282</f>
        <v>0</v>
      </c>
      <c r="H798" s="1">
        <f t="shared" si="540"/>
        <v>0</v>
      </c>
      <c r="I798" s="1">
        <f t="shared" si="540"/>
        <v>0</v>
      </c>
      <c r="J798" s="1">
        <f t="shared" si="540"/>
        <v>2.1156996678374815</v>
      </c>
      <c r="K798" s="1">
        <f t="shared" si="540"/>
        <v>10.604167137916699</v>
      </c>
    </row>
    <row r="799" spans="2:13" x14ac:dyDescent="0.25">
      <c r="B799" s="5" t="str">
        <f t="shared" si="504"/>
        <v>SPS2</v>
      </c>
      <c r="C799" s="5" t="str">
        <f t="shared" si="532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41">G287</f>
        <v>0</v>
      </c>
      <c r="H799" s="1">
        <f t="shared" si="541"/>
        <v>0</v>
      </c>
      <c r="I799" s="1">
        <f t="shared" si="541"/>
        <v>0.67790625238061841</v>
      </c>
      <c r="J799" s="1">
        <f t="shared" si="541"/>
        <v>0.34938203165887655</v>
      </c>
      <c r="K799" s="1">
        <f t="shared" si="541"/>
        <v>0.16505756724101761</v>
      </c>
      <c r="M799" s="1"/>
    </row>
    <row r="800" spans="2:13" x14ac:dyDescent="0.25">
      <c r="B800" s="5" t="str">
        <f t="shared" si="504"/>
        <v>SPS2</v>
      </c>
      <c r="C800" s="5" t="str">
        <f t="shared" si="532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7.1200083028758767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7.6289071432017055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7.3297952615242101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7.1839619334299112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10.175265799962943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11.865483113487695</v>
      </c>
    </row>
    <row r="801" spans="2:11" x14ac:dyDescent="0.25">
      <c r="B801" s="5" t="str">
        <f t="shared" si="504"/>
        <v>SPS2</v>
      </c>
      <c r="C801" s="5" t="str">
        <f t="shared" si="532"/>
        <v>CH</v>
      </c>
      <c r="D801" t="s">
        <v>952</v>
      </c>
      <c r="E801" t="s">
        <v>8</v>
      </c>
      <c r="F801" s="1">
        <f>F802</f>
        <v>9.0018978011410908</v>
      </c>
      <c r="G801" s="1">
        <f t="shared" ref="G801:K801" si="542">G802</f>
        <v>10.609941445612098</v>
      </c>
      <c r="H801" s="1">
        <f t="shared" si="542"/>
        <v>9.759142674531347</v>
      </c>
      <c r="I801" s="1">
        <f t="shared" si="542"/>
        <v>9.878820979539638</v>
      </c>
      <c r="J801" s="1">
        <f t="shared" si="542"/>
        <v>12.729457856686876</v>
      </c>
      <c r="K801" s="1">
        <f t="shared" si="542"/>
        <v>9.6375679434338171</v>
      </c>
    </row>
    <row r="802" spans="2:11" x14ac:dyDescent="0.25">
      <c r="B802" s="5" t="str">
        <f t="shared" si="504"/>
        <v>SPS2</v>
      </c>
      <c r="C802" s="5" t="str">
        <f t="shared" si="532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9.0018978011410908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10.609941445612098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9.759142674531347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9.878820979539638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12.729457856686876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9.6375679434338171</v>
      </c>
    </row>
    <row r="803" spans="2:11" x14ac:dyDescent="0.25">
      <c r="B803" s="5" t="str">
        <f t="shared" si="504"/>
        <v>SPS2</v>
      </c>
      <c r="C803" s="5" t="str">
        <f t="shared" si="532"/>
        <v>CH</v>
      </c>
      <c r="D803" t="s">
        <v>954</v>
      </c>
      <c r="E803" t="s">
        <v>8</v>
      </c>
      <c r="F803" s="1">
        <f>F804</f>
        <v>0.62578816168411933</v>
      </c>
      <c r="G803" s="1">
        <f t="shared" ref="G803:K803" si="543">G804</f>
        <v>0.73757359393042432</v>
      </c>
      <c r="H803" s="1">
        <f t="shared" si="543"/>
        <v>0.73850156567872249</v>
      </c>
      <c r="I803" s="1">
        <f t="shared" si="543"/>
        <v>0.73644775876674984</v>
      </c>
      <c r="J803" s="1">
        <f t="shared" si="543"/>
        <v>0.73236019332500135</v>
      </c>
      <c r="K803" s="1">
        <f t="shared" si="543"/>
        <v>0.72832055445824673</v>
      </c>
    </row>
    <row r="804" spans="2:11" x14ac:dyDescent="0.25">
      <c r="B804" s="5" t="str">
        <f t="shared" si="504"/>
        <v>SPS2</v>
      </c>
      <c r="C804" s="5" t="str">
        <f t="shared" si="532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0.62578816168411933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0.73757359393042432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0.73850156567872249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0.73644775876674984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0.73236019332500135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0.72832055445824673</v>
      </c>
    </row>
    <row r="805" spans="2:11" x14ac:dyDescent="0.25">
      <c r="B805" s="5" t="str">
        <f t="shared" si="504"/>
        <v>SPS2</v>
      </c>
      <c r="C805" s="5" t="str">
        <f t="shared" si="532"/>
        <v>CH</v>
      </c>
      <c r="D805" t="s">
        <v>492</v>
      </c>
      <c r="E805" t="s">
        <v>8</v>
      </c>
      <c r="F805" s="1">
        <f>[1]Industry!B$21</f>
        <v>7.7980419464774373</v>
      </c>
      <c r="G805" s="1">
        <f>[1]Industry!C$21</f>
        <v>8.0801474277403873</v>
      </c>
      <c r="H805" s="1">
        <f>[1]Industry!D$21</f>
        <v>5.608273306132654</v>
      </c>
      <c r="I805" s="1">
        <f>[1]Industry!E$21</f>
        <v>5.940961849051738</v>
      </c>
      <c r="J805" s="1">
        <f>[1]Industry!F$21</f>
        <v>5.4593536877102089</v>
      </c>
      <c r="K805" s="1">
        <f>[1]Industry!G$21</f>
        <v>2.750355444961376E-4</v>
      </c>
    </row>
    <row r="806" spans="2:11" x14ac:dyDescent="0.25">
      <c r="B806" s="5" t="str">
        <f t="shared" si="504"/>
        <v>SPS2</v>
      </c>
      <c r="C806" s="5" t="str">
        <f t="shared" si="532"/>
        <v>CH</v>
      </c>
      <c r="D806" t="s">
        <v>495</v>
      </c>
      <c r="E806" t="s">
        <v>8</v>
      </c>
      <c r="F806" s="1">
        <f>F805</f>
        <v>7.7980419464774373</v>
      </c>
      <c r="G806" s="1">
        <f t="shared" ref="G806:K806" si="544">G805</f>
        <v>8.0801474277403873</v>
      </c>
      <c r="H806" s="1">
        <f t="shared" si="544"/>
        <v>5.608273306132654</v>
      </c>
      <c r="I806" s="1">
        <f t="shared" si="544"/>
        <v>5.940961849051738</v>
      </c>
      <c r="J806" s="1">
        <f t="shared" si="544"/>
        <v>5.4593536877102089</v>
      </c>
      <c r="K806" s="1">
        <f t="shared" si="544"/>
        <v>2.750355444961376E-4</v>
      </c>
    </row>
    <row r="807" spans="2:11" x14ac:dyDescent="0.25">
      <c r="B807" s="5" t="str">
        <f t="shared" si="504"/>
        <v>SPS2</v>
      </c>
      <c r="C807" s="5" t="str">
        <f t="shared" si="532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04"/>
        <v>SPS2</v>
      </c>
      <c r="C808" s="5" t="str">
        <f t="shared" si="532"/>
        <v>CH</v>
      </c>
      <c r="D808" t="s">
        <v>494</v>
      </c>
      <c r="E808" t="s">
        <v>8</v>
      </c>
      <c r="F808" s="1">
        <f>F806</f>
        <v>7.7980419464774373</v>
      </c>
      <c r="G808" s="1">
        <f t="shared" ref="G808:K808" si="545">G806</f>
        <v>8.0801474277403873</v>
      </c>
      <c r="H808" s="1">
        <f t="shared" si="545"/>
        <v>5.608273306132654</v>
      </c>
      <c r="I808" s="1">
        <f t="shared" si="545"/>
        <v>5.940961849051738</v>
      </c>
      <c r="J808" s="1">
        <f t="shared" si="545"/>
        <v>5.4593536877102089</v>
      </c>
      <c r="K808" s="1">
        <f t="shared" si="545"/>
        <v>2.750355444961376E-4</v>
      </c>
    </row>
    <row r="809" spans="2:11" x14ac:dyDescent="0.25">
      <c r="B809" s="5" t="str">
        <f t="shared" si="504"/>
        <v>SPS2</v>
      </c>
      <c r="C809" s="5" t="str">
        <f t="shared" ref="C809:C810" si="546">C808</f>
        <v>CH</v>
      </c>
      <c r="D809" t="s">
        <v>956</v>
      </c>
      <c r="E809" t="s">
        <v>8</v>
      </c>
      <c r="F809" s="1">
        <f>[1]Industry!B$22</f>
        <v>6.7637070992191017E-2</v>
      </c>
      <c r="G809" s="1">
        <f>[1]Industry!C$22</f>
        <v>8.5492605440850286E-2</v>
      </c>
      <c r="H809" s="1">
        <f>[1]Industry!D$22</f>
        <v>0.10033519147746132</v>
      </c>
      <c r="I809" s="1">
        <f>[1]Industry!E$22</f>
        <v>0.10588865801491035</v>
      </c>
      <c r="J809" s="1">
        <f>[1]Industry!F$22</f>
        <v>0.10047740525335749</v>
      </c>
      <c r="K809" s="1">
        <f>[1]Industry!G$22</f>
        <v>6.6193412664370954E-2</v>
      </c>
    </row>
    <row r="810" spans="2:11" x14ac:dyDescent="0.25">
      <c r="B810" s="5" t="str">
        <f t="shared" si="504"/>
        <v>SPS2</v>
      </c>
      <c r="C810" s="5" t="str">
        <f t="shared" si="546"/>
        <v>CH</v>
      </c>
      <c r="D810" t="s">
        <v>957</v>
      </c>
      <c r="E810" t="s">
        <v>8</v>
      </c>
      <c r="F810" s="1">
        <f>F809</f>
        <v>6.7637070992191017E-2</v>
      </c>
      <c r="G810" s="1">
        <f t="shared" ref="G810:K810" si="547">G809</f>
        <v>8.5492605440850286E-2</v>
      </c>
      <c r="H810" s="1">
        <f t="shared" si="547"/>
        <v>0.10033519147746132</v>
      </c>
      <c r="I810" s="1">
        <f t="shared" si="547"/>
        <v>0.10588865801491035</v>
      </c>
      <c r="J810" s="1">
        <f t="shared" si="547"/>
        <v>0.10047740525335749</v>
      </c>
      <c r="K810" s="1">
        <f t="shared" si="547"/>
        <v>6.6193412664370954E-2</v>
      </c>
    </row>
    <row r="811" spans="2:11" x14ac:dyDescent="0.25">
      <c r="B811" s="5" t="str">
        <f t="shared" si="504"/>
        <v>SPS2</v>
      </c>
      <c r="C811" s="5" t="str">
        <f t="shared" ref="C811:C812" si="548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1.8012540781086543E-2</v>
      </c>
      <c r="I811" s="1">
        <f>[1]Industry!E$23</f>
        <v>18.717012720581117</v>
      </c>
      <c r="J811" s="1">
        <f>[1]Industry!F$23</f>
        <v>18.45885379989253</v>
      </c>
      <c r="K811" s="1">
        <f>[1]Industry!G$23</f>
        <v>19.85046255354349</v>
      </c>
    </row>
    <row r="812" spans="2:11" x14ac:dyDescent="0.25">
      <c r="B812" s="5" t="str">
        <f t="shared" si="504"/>
        <v>SPS2</v>
      </c>
      <c r="C812" s="5" t="str">
        <f t="shared" si="548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49">G811</f>
        <v>0</v>
      </c>
      <c r="H812" s="1">
        <f t="shared" si="549"/>
        <v>1.8012540781086543E-2</v>
      </c>
      <c r="I812" s="1">
        <f t="shared" si="549"/>
        <v>18.717012720581117</v>
      </c>
      <c r="J812" s="1">
        <f t="shared" si="549"/>
        <v>18.45885379989253</v>
      </c>
      <c r="K812" s="1">
        <f t="shared" si="549"/>
        <v>19.85046255354349</v>
      </c>
    </row>
    <row r="813" spans="2:11" x14ac:dyDescent="0.25">
      <c r="B813" s="5" t="str">
        <f t="shared" si="504"/>
        <v>SPS2</v>
      </c>
      <c r="C813" s="5" t="str">
        <f t="shared" ref="C813:C814" si="550">C812</f>
        <v>CH</v>
      </c>
      <c r="D813" t="s">
        <v>960</v>
      </c>
      <c r="E813" t="s">
        <v>8</v>
      </c>
      <c r="F813" s="1">
        <f>[1]Industry!B$24</f>
        <v>0.74847848954988305</v>
      </c>
      <c r="G813" s="1">
        <f>[1]Industry!C$24</f>
        <v>0.94973014289003022</v>
      </c>
      <c r="H813" s="1">
        <f>[1]Industry!D$24</f>
        <v>2.1496497058879762</v>
      </c>
      <c r="I813" s="1">
        <f>[1]Industry!E$24</f>
        <v>2.1690444637114474</v>
      </c>
      <c r="J813" s="1">
        <f>[1]Industry!F$24</f>
        <v>3.5136281035344665</v>
      </c>
      <c r="K813" s="1">
        <f>[1]Industry!G$24</f>
        <v>4.3675495470592942</v>
      </c>
    </row>
    <row r="814" spans="2:11" x14ac:dyDescent="0.25">
      <c r="B814" s="5" t="str">
        <f t="shared" si="504"/>
        <v>SPS2</v>
      </c>
      <c r="C814" s="5" t="str">
        <f t="shared" si="550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0.74847848954988305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0.94973014289003022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2.1451479180229089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2.1644413667239628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3.5082431655163302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4.3655827268566219</v>
      </c>
    </row>
    <row r="815" spans="2:11" x14ac:dyDescent="0.25">
      <c r="B815" s="5" t="str">
        <f t="shared" si="504"/>
        <v>SPS2</v>
      </c>
      <c r="C815" s="5" t="str">
        <f t="shared" ref="C815:C823" si="551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52">G813-G814</f>
        <v>0</v>
      </c>
      <c r="H815" s="1">
        <f t="shared" si="552"/>
        <v>4.5017878650672749E-3</v>
      </c>
      <c r="I815" s="1">
        <f t="shared" si="552"/>
        <v>4.6030969874846228E-3</v>
      </c>
      <c r="J815" s="1">
        <f t="shared" si="552"/>
        <v>5.3849380181363316E-3</v>
      </c>
      <c r="K815" s="1">
        <f t="shared" si="552"/>
        <v>1.9668202026723591E-3</v>
      </c>
    </row>
    <row r="816" spans="2:11" x14ac:dyDescent="0.25">
      <c r="B816" s="9" t="str">
        <f t="shared" si="504"/>
        <v>SPS2</v>
      </c>
      <c r="C816" s="9" t="str">
        <f t="shared" si="551"/>
        <v>CH</v>
      </c>
      <c r="D816" s="2" t="s">
        <v>684</v>
      </c>
      <c r="E816" s="9" t="s">
        <v>8</v>
      </c>
      <c r="F816" s="17">
        <f>[1]Industry!B$71</f>
        <v>72.708245824392819</v>
      </c>
      <c r="G816" s="17">
        <f>[1]Industry!C$71</f>
        <v>74.111343653044301</v>
      </c>
      <c r="H816" s="17">
        <f>[1]Industry!D$71</f>
        <v>75.695205877910908</v>
      </c>
      <c r="I816" s="17">
        <f>[1]Industry!E$71</f>
        <v>76.7551931137682</v>
      </c>
      <c r="J816" s="17">
        <f>[1]Industry!F$71</f>
        <v>77.383960174582953</v>
      </c>
      <c r="K816" s="17">
        <f>[1]Industry!G$71</f>
        <v>78.0754044996836</v>
      </c>
    </row>
    <row r="817" spans="2:13" x14ac:dyDescent="0.25">
      <c r="B817" s="5" t="str">
        <f t="shared" si="504"/>
        <v>SPS2</v>
      </c>
      <c r="C817" s="5" t="str">
        <f t="shared" si="551"/>
        <v>CH</v>
      </c>
      <c r="D817" t="s">
        <v>2032</v>
      </c>
      <c r="E817" t="s">
        <v>8</v>
      </c>
      <c r="F817" s="18">
        <f>SUM(F818:F820)</f>
        <v>58.985447532559839</v>
      </c>
      <c r="G817" s="18">
        <f t="shared" ref="G817:K817" si="553">SUM(G818:G820)</f>
        <v>61.647373822618192</v>
      </c>
      <c r="H817" s="18">
        <f t="shared" si="553"/>
        <v>68.222543720354523</v>
      </c>
      <c r="I817" s="18">
        <f t="shared" si="553"/>
        <v>69.673641218629598</v>
      </c>
      <c r="J817" s="18">
        <f t="shared" si="553"/>
        <v>73.15430782748254</v>
      </c>
      <c r="K817" s="18">
        <f t="shared" si="553"/>
        <v>75.977302779797242</v>
      </c>
    </row>
    <row r="818" spans="2:13" x14ac:dyDescent="0.25">
      <c r="B818" s="5" t="str">
        <f t="shared" si="504"/>
        <v>SPS2</v>
      </c>
      <c r="C818" s="5" t="str">
        <f t="shared" si="551"/>
        <v>CH</v>
      </c>
      <c r="D818" t="s">
        <v>2033</v>
      </c>
      <c r="E818" t="s">
        <v>8</v>
      </c>
      <c r="F818" s="1">
        <f>[1]Industry!B$55</f>
        <v>9.8138954573852644</v>
      </c>
      <c r="G818" s="1">
        <f>[1]Industry!C$55</f>
        <v>10.335083438722085</v>
      </c>
      <c r="H818" s="1">
        <f>[1]Industry!D$55</f>
        <v>13.576838287652182</v>
      </c>
      <c r="I818" s="1">
        <f>[1]Industry!E$55</f>
        <v>13.576840446439899</v>
      </c>
      <c r="J818" s="1">
        <f>[1]Industry!F$55</f>
        <v>13.57684228872391</v>
      </c>
      <c r="K818" s="1">
        <f>[1]Industry!G$55</f>
        <v>13.576842545338986</v>
      </c>
      <c r="L818" s="1"/>
      <c r="M818" s="1"/>
    </row>
    <row r="819" spans="2:13" x14ac:dyDescent="0.25">
      <c r="B819" s="5" t="str">
        <f t="shared" si="504"/>
        <v>SPS2</v>
      </c>
      <c r="C819" s="5" t="str">
        <f t="shared" si="551"/>
        <v>CH</v>
      </c>
      <c r="D819" t="s">
        <v>2034</v>
      </c>
      <c r="E819" t="s">
        <v>8</v>
      </c>
      <c r="F819" s="1">
        <f>[1]Industry!B$56</f>
        <v>1.1081544230035762</v>
      </c>
      <c r="G819" s="1">
        <f>[1]Industry!C$56</f>
        <v>1.4007931864506111</v>
      </c>
      <c r="H819" s="1">
        <f>[1]Industry!D$56</f>
        <v>3.1464429760443235</v>
      </c>
      <c r="I819" s="1">
        <f>[1]Industry!E$56</f>
        <v>3.146596786327029</v>
      </c>
      <c r="J819" s="1">
        <f>[1]Industry!F$56</f>
        <v>5.0161576483355752</v>
      </c>
      <c r="K819" s="1">
        <f>[1]Industry!G$56</f>
        <v>6.1479336551528174</v>
      </c>
    </row>
    <row r="820" spans="2:13" x14ac:dyDescent="0.25">
      <c r="B820" s="5" t="str">
        <f t="shared" ref="B820:B883" si="554">B819</f>
        <v>SPS2</v>
      </c>
      <c r="C820" s="5" t="str">
        <f t="shared" si="551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49.911497197445492</v>
      </c>
      <c r="H820" s="1">
        <f>[1]Industry!D$3-([1]Industry!D$6-[1]Industry!D$70)</f>
        <v>51.499262456658016</v>
      </c>
      <c r="I820" s="1">
        <f>[1]Industry!E$3-([1]Industry!E$6-[1]Industry!E$70)</f>
        <v>52.950203985862672</v>
      </c>
      <c r="J820" s="1">
        <f>[1]Industry!F$3-([1]Industry!F$6-[1]Industry!F$70)</f>
        <v>54.561307890423059</v>
      </c>
      <c r="K820" s="1">
        <f>[1]Industry!G$3-([1]Industry!G$6-[1]Industry!G$70)</f>
        <v>56.252526579305446</v>
      </c>
    </row>
    <row r="821" spans="2:13" x14ac:dyDescent="0.25">
      <c r="B821" s="5" t="str">
        <f t="shared" si="554"/>
        <v>SPS2</v>
      </c>
      <c r="C821" s="5" t="str">
        <f t="shared" si="551"/>
        <v>CH</v>
      </c>
      <c r="D821" t="s">
        <v>2036</v>
      </c>
      <c r="E821" t="s">
        <v>8</v>
      </c>
      <c r="F821" s="1">
        <f>SUM(F822:F823)</f>
        <v>8.7635289436702291</v>
      </c>
      <c r="G821" s="1">
        <f t="shared" ref="G821:K821" si="555">SUM(G822:G823)</f>
        <v>6.1935905058079781</v>
      </c>
      <c r="H821" s="1">
        <f t="shared" si="555"/>
        <v>6.1935662291869127</v>
      </c>
      <c r="I821" s="1">
        <f t="shared" si="555"/>
        <v>5.4009349328784015</v>
      </c>
      <c r="J821" s="1">
        <f t="shared" si="555"/>
        <v>2.6315966614467752</v>
      </c>
      <c r="K821" s="1">
        <f t="shared" si="555"/>
        <v>0.19717295955483474</v>
      </c>
    </row>
    <row r="822" spans="2:13" x14ac:dyDescent="0.25">
      <c r="B822" s="5" t="str">
        <f t="shared" si="554"/>
        <v>SPS2</v>
      </c>
      <c r="C822" s="5" t="str">
        <f t="shared" si="551"/>
        <v>CH</v>
      </c>
      <c r="D822" t="s">
        <v>2037</v>
      </c>
      <c r="E822" t="s">
        <v>8</v>
      </c>
      <c r="F822" s="1">
        <f>[1]Industry!B$57</f>
        <v>6.9177066723989746</v>
      </c>
      <c r="G822" s="1">
        <f>[1]Industry!C$57</f>
        <v>6.1927130818240821</v>
      </c>
      <c r="H822" s="1">
        <f>[1]Industry!D$57</f>
        <v>6.1925319560196117</v>
      </c>
      <c r="I822" s="1">
        <f>[1]Industry!E$57</f>
        <v>5.3919733673763011</v>
      </c>
      <c r="J822" s="1">
        <f>[1]Industry!F$57</f>
        <v>2.6304712498871963</v>
      </c>
      <c r="K822" s="1">
        <f>[1]Industry!G$57</f>
        <v>0.19717295955483474</v>
      </c>
    </row>
    <row r="823" spans="2:13" x14ac:dyDescent="0.25">
      <c r="B823" s="5" t="str">
        <f t="shared" si="554"/>
        <v>SPS2</v>
      </c>
      <c r="C823" s="5" t="str">
        <f t="shared" si="551"/>
        <v>CH</v>
      </c>
      <c r="D823" t="s">
        <v>2038</v>
      </c>
      <c r="E823" t="s">
        <v>8</v>
      </c>
      <c r="F823" s="1">
        <f>[1]Industry!B$58</f>
        <v>1.8458222712712538</v>
      </c>
      <c r="G823" s="1">
        <f>[1]Industry!C$58</f>
        <v>8.7742398389565105E-4</v>
      </c>
      <c r="H823" s="1">
        <f>[1]Industry!D$58</f>
        <v>1.0342731673013965E-3</v>
      </c>
      <c r="I823" s="1">
        <f>[1]Industry!E$58</f>
        <v>8.9615655021001925E-3</v>
      </c>
      <c r="J823" s="1">
        <f>[1]Industry!F$58</f>
        <v>1.1254115595787902E-3</v>
      </c>
      <c r="K823" s="1">
        <f>[1]Industry!G$58</f>
        <v>0</v>
      </c>
    </row>
    <row r="824" spans="2:13" x14ac:dyDescent="0.25">
      <c r="B824" s="5" t="str">
        <f t="shared" si="554"/>
        <v>SPS2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28.930283489154988</v>
      </c>
      <c r="G824" s="1">
        <f t="shared" ref="G824:K824" si="556">SUM(G825:G827)</f>
        <v>25.816639377328787</v>
      </c>
      <c r="H824" s="1">
        <f t="shared" si="556"/>
        <v>26.674574389607216</v>
      </c>
      <c r="I824" s="1">
        <f t="shared" si="556"/>
        <v>9.8249096724746288</v>
      </c>
      <c r="J824" s="1">
        <f t="shared" si="556"/>
        <v>8.0464690921669746</v>
      </c>
      <c r="K824" s="1">
        <f t="shared" si="556"/>
        <v>4.3584029732087934</v>
      </c>
    </row>
    <row r="825" spans="2:13" x14ac:dyDescent="0.25">
      <c r="B825" s="5" t="str">
        <f t="shared" si="554"/>
        <v>SPS2</v>
      </c>
      <c r="C825" s="5" t="str">
        <f t="shared" ref="C825:C854" si="557">C824</f>
        <v>CH</v>
      </c>
      <c r="D825" t="s">
        <v>2040</v>
      </c>
      <c r="E825" t="s">
        <v>8</v>
      </c>
      <c r="F825" s="1">
        <f>[1]Industry!B$59</f>
        <v>28.619770853635373</v>
      </c>
      <c r="G825" s="1">
        <f>[1]Industry!C$59</f>
        <v>25.424120850972859</v>
      </c>
      <c r="H825" s="1">
        <f>[1]Industry!D$59</f>
        <v>24.655051909440644</v>
      </c>
      <c r="I825" s="1">
        <f>[1]Industry!E$59</f>
        <v>7.8053751687493742</v>
      </c>
      <c r="J825" s="1">
        <f>[1]Industry!F$59</f>
        <v>3.7365416877567843</v>
      </c>
      <c r="K825" s="1">
        <f>[1]Industry!G$59</f>
        <v>1.0364259276385811E-3</v>
      </c>
    </row>
    <row r="826" spans="2:13" x14ac:dyDescent="0.25">
      <c r="B826" s="5" t="str">
        <f t="shared" si="554"/>
        <v>SPS2</v>
      </c>
      <c r="C826" s="5" t="str">
        <f t="shared" si="557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9.5861176327871611E-3</v>
      </c>
      <c r="I826" s="1">
        <f>[1]Industry!E$60</f>
        <v>9.5942025470346307E-3</v>
      </c>
      <c r="J826" s="1">
        <f>[1]Industry!F$60</f>
        <v>1.0791872091376952E-2</v>
      </c>
      <c r="K826" s="1">
        <f>[1]Industry!G$60</f>
        <v>3.8056508665593215E-3</v>
      </c>
    </row>
    <row r="827" spans="2:13" x14ac:dyDescent="0.25">
      <c r="B827" s="5" t="str">
        <f t="shared" si="554"/>
        <v>SPS2</v>
      </c>
      <c r="C827" s="5" t="str">
        <f t="shared" si="557"/>
        <v>CH</v>
      </c>
      <c r="D827" t="s">
        <v>2042</v>
      </c>
      <c r="E827" t="s">
        <v>8</v>
      </c>
      <c r="F827" s="1">
        <f>[1]Industry!B$68</f>
        <v>0.310512635519616</v>
      </c>
      <c r="G827" s="1">
        <f>[1]Industry!C$68</f>
        <v>0.39251852635592699</v>
      </c>
      <c r="H827" s="1">
        <f>[1]Industry!D$68</f>
        <v>2.0099363625337863</v>
      </c>
      <c r="I827" s="1">
        <f>[1]Industry!E$68</f>
        <v>2.0099403011782204</v>
      </c>
      <c r="J827" s="1">
        <f>[1]Industry!F$68</f>
        <v>4.2991355323188127</v>
      </c>
      <c r="K827" s="1">
        <f>[1]Industry!G$68</f>
        <v>4.3535608964145958</v>
      </c>
    </row>
    <row r="828" spans="2:13" x14ac:dyDescent="0.25">
      <c r="B828" s="5" t="str">
        <f t="shared" si="554"/>
        <v>SPS2</v>
      </c>
      <c r="C828" s="5" t="str">
        <f t="shared" si="557"/>
        <v>CH</v>
      </c>
      <c r="D828" t="s">
        <v>2043</v>
      </c>
      <c r="E828" t="s">
        <v>8</v>
      </c>
      <c r="F828" s="1">
        <f>F829</f>
        <v>2.3674020738915598</v>
      </c>
      <c r="G828" s="1">
        <f t="shared" ref="G828:K828" si="558">G829</f>
        <v>2.3075016314604677</v>
      </c>
      <c r="H828" s="1">
        <f t="shared" si="558"/>
        <v>1.6877406479919573E-3</v>
      </c>
      <c r="I828" s="1">
        <f t="shared" si="558"/>
        <v>2.0246968486881847</v>
      </c>
      <c r="J828" s="1">
        <f t="shared" si="558"/>
        <v>9.018125251305019E-4</v>
      </c>
      <c r="K828" s="1">
        <f t="shared" si="558"/>
        <v>0</v>
      </c>
    </row>
    <row r="829" spans="2:13" x14ac:dyDescent="0.25">
      <c r="B829" s="5" t="str">
        <f t="shared" si="554"/>
        <v>SPS2</v>
      </c>
      <c r="C829" s="5" t="str">
        <f t="shared" si="557"/>
        <v>CH</v>
      </c>
      <c r="D829" t="s">
        <v>2044</v>
      </c>
      <c r="E829" t="s">
        <v>8</v>
      </c>
      <c r="F829" s="1">
        <f>[1]Industry!B$61</f>
        <v>2.3674020738915598</v>
      </c>
      <c r="G829" s="1">
        <f>[1]Industry!C$61</f>
        <v>2.3075016314604677</v>
      </c>
      <c r="H829" s="1">
        <f>[1]Industry!D$61</f>
        <v>1.6877406479919573E-3</v>
      </c>
      <c r="I829" s="1">
        <f>[1]Industry!E$61</f>
        <v>2.0246968486881847</v>
      </c>
      <c r="J829" s="1">
        <f>[1]Industry!F$61</f>
        <v>9.018125251305019E-4</v>
      </c>
      <c r="K829" s="1">
        <f>[1]Industry!G$61</f>
        <v>0</v>
      </c>
    </row>
    <row r="830" spans="2:13" x14ac:dyDescent="0.25">
      <c r="B830" s="5" t="str">
        <f t="shared" si="554"/>
        <v>SPS2</v>
      </c>
      <c r="C830" s="5" t="str">
        <f t="shared" si="557"/>
        <v>CH</v>
      </c>
      <c r="D830" t="s">
        <v>2045</v>
      </c>
      <c r="E830" t="s">
        <v>8</v>
      </c>
      <c r="F830" s="1">
        <f>F831+F841</f>
        <v>11.767339746639642</v>
      </c>
      <c r="G830" s="1">
        <f t="shared" ref="G830:K830" si="559">G831+G841</f>
        <v>12.635410648781034</v>
      </c>
      <c r="H830" s="1">
        <f t="shared" si="559"/>
        <v>12.461203338572808</v>
      </c>
      <c r="I830" s="1">
        <f t="shared" si="559"/>
        <v>13.96039188524832</v>
      </c>
      <c r="J830" s="1">
        <f t="shared" si="559"/>
        <v>17.244133355083918</v>
      </c>
      <c r="K830" s="1">
        <f t="shared" si="559"/>
        <v>24.973006942598513</v>
      </c>
    </row>
    <row r="831" spans="2:13" x14ac:dyDescent="0.25">
      <c r="B831" s="5" t="str">
        <f t="shared" si="554"/>
        <v>SPS2</v>
      </c>
      <c r="C831" s="5" t="str">
        <f t="shared" si="557"/>
        <v>CH</v>
      </c>
      <c r="D831" t="s">
        <v>2046</v>
      </c>
      <c r="E831" t="s">
        <v>8</v>
      </c>
      <c r="F831" s="1">
        <f>[1]Industry!B$62</f>
        <v>5.1850610827838395</v>
      </c>
      <c r="G831" s="1">
        <f>[1]Industry!C$62</f>
        <v>5.5675610746181707</v>
      </c>
      <c r="H831" s="1">
        <f>[1]Industry!D$62</f>
        <v>5.6486972600020611</v>
      </c>
      <c r="I831" s="1">
        <f>[1]Industry!E$62</f>
        <v>7.2478647296218481</v>
      </c>
      <c r="J831" s="1">
        <f>[1]Industry!F$62</f>
        <v>7.635861042309811</v>
      </c>
      <c r="K831" s="1">
        <f>[1]Industry!G$62</f>
        <v>13.700797984785204</v>
      </c>
      <c r="M831" s="1"/>
    </row>
    <row r="832" spans="2:13" x14ac:dyDescent="0.25">
      <c r="B832" s="5" t="str">
        <f t="shared" si="554"/>
        <v>SPS2</v>
      </c>
      <c r="C832" s="5" t="str">
        <f t="shared" si="557"/>
        <v>CH</v>
      </c>
      <c r="D832" t="s">
        <v>2047</v>
      </c>
      <c r="E832" t="s">
        <v>8</v>
      </c>
      <c r="F832" s="1">
        <f>IFERROR(F791/F$790,0)*F$831</f>
        <v>1.1218174405744692</v>
      </c>
      <c r="G832" s="1">
        <f t="shared" ref="G832:K832" si="560">IFERROR(G791/G$790,0)*G$831</f>
        <v>2.0466882703848603</v>
      </c>
      <c r="H832" s="1">
        <f t="shared" si="560"/>
        <v>3.4837227058884201E-2</v>
      </c>
      <c r="I832" s="1">
        <f t="shared" si="560"/>
        <v>1.2623309381704286</v>
      </c>
      <c r="J832" s="1">
        <f t="shared" si="560"/>
        <v>3.857425497485821E-2</v>
      </c>
      <c r="K832" s="1">
        <f t="shared" si="560"/>
        <v>9.5510470919995627E-4</v>
      </c>
    </row>
    <row r="833" spans="2:13" x14ac:dyDescent="0.25">
      <c r="B833" s="5" t="str">
        <f t="shared" si="554"/>
        <v>SPS2</v>
      </c>
      <c r="C833" s="5" t="str">
        <f t="shared" si="557"/>
        <v>CH</v>
      </c>
      <c r="D833" t="s">
        <v>2048</v>
      </c>
      <c r="E833" t="s">
        <v>8</v>
      </c>
      <c r="F833" s="1">
        <f t="shared" ref="F833:K840" si="561">IFERROR(F792/F$790,0)*F$831</f>
        <v>0.9316164643070356</v>
      </c>
      <c r="G833" s="1">
        <f t="shared" si="561"/>
        <v>0.23786273449247797</v>
      </c>
      <c r="H833" s="1">
        <f t="shared" si="561"/>
        <v>5.388306629674517E-2</v>
      </c>
      <c r="I833" s="1">
        <f t="shared" si="561"/>
        <v>0.42090835492035561</v>
      </c>
      <c r="J833" s="1">
        <f t="shared" si="561"/>
        <v>1.8303725997153701</v>
      </c>
      <c r="K833" s="1">
        <f t="shared" si="561"/>
        <v>0.86757485602576978</v>
      </c>
    </row>
    <row r="834" spans="2:13" x14ac:dyDescent="0.25">
      <c r="B834" s="5" t="str">
        <f t="shared" si="554"/>
        <v>SPS2</v>
      </c>
      <c r="C834" s="5" t="str">
        <f t="shared" si="557"/>
        <v>CH</v>
      </c>
      <c r="D834" t="s">
        <v>2049</v>
      </c>
      <c r="E834" t="s">
        <v>8</v>
      </c>
      <c r="F834" s="1">
        <f t="shared" si="561"/>
        <v>0</v>
      </c>
      <c r="G834" s="1">
        <f t="shared" si="561"/>
        <v>0</v>
      </c>
      <c r="H834" s="1">
        <f t="shared" si="561"/>
        <v>0</v>
      </c>
      <c r="I834" s="1">
        <f t="shared" si="561"/>
        <v>0</v>
      </c>
      <c r="J834" s="1">
        <f t="shared" si="561"/>
        <v>1.6471573884743788E-3</v>
      </c>
      <c r="K834" s="1">
        <f t="shared" si="561"/>
        <v>0.5016355007838269</v>
      </c>
    </row>
    <row r="835" spans="2:13" x14ac:dyDescent="0.25">
      <c r="B835" s="5" t="str">
        <f t="shared" si="554"/>
        <v>SPS2</v>
      </c>
      <c r="C835" s="5" t="str">
        <f t="shared" si="557"/>
        <v>CH</v>
      </c>
      <c r="D835" t="s">
        <v>2050</v>
      </c>
      <c r="E835" t="s">
        <v>8</v>
      </c>
      <c r="F835" s="1">
        <f t="shared" si="561"/>
        <v>0</v>
      </c>
      <c r="G835" s="1">
        <f t="shared" si="561"/>
        <v>0</v>
      </c>
      <c r="H835" s="1">
        <f t="shared" si="561"/>
        <v>0</v>
      </c>
      <c r="I835" s="1">
        <f t="shared" si="561"/>
        <v>6.0580955487407942E-4</v>
      </c>
      <c r="J835" s="1">
        <f t="shared" si="561"/>
        <v>2.0989611823473172E-3</v>
      </c>
      <c r="K835" s="1">
        <f t="shared" si="561"/>
        <v>2.8204001843883981E-4</v>
      </c>
    </row>
    <row r="836" spans="2:13" x14ac:dyDescent="0.25">
      <c r="B836" s="5" t="str">
        <f t="shared" si="554"/>
        <v>SPS2</v>
      </c>
      <c r="C836" s="5" t="str">
        <f t="shared" si="557"/>
        <v>CH</v>
      </c>
      <c r="D836" t="s">
        <v>2051</v>
      </c>
      <c r="E836" t="s">
        <v>8</v>
      </c>
      <c r="F836" s="1">
        <f t="shared" si="561"/>
        <v>2.335496201583894</v>
      </c>
      <c r="G836" s="1">
        <f t="shared" si="561"/>
        <v>1.915314275365172</v>
      </c>
      <c r="H836" s="1">
        <f t="shared" si="561"/>
        <v>2.3970300634446469</v>
      </c>
      <c r="I836" s="1">
        <f t="shared" si="561"/>
        <v>2.3266212848354439</v>
      </c>
      <c r="J836" s="1">
        <f t="shared" si="561"/>
        <v>0.64573837851846894</v>
      </c>
      <c r="K836" s="1">
        <f t="shared" si="561"/>
        <v>1.450797792736847E-4</v>
      </c>
    </row>
    <row r="837" spans="2:13" x14ac:dyDescent="0.25">
      <c r="B837" s="5" t="str">
        <f t="shared" si="554"/>
        <v>SPS2</v>
      </c>
      <c r="C837" s="5" t="str">
        <f t="shared" si="557"/>
        <v>CH</v>
      </c>
      <c r="D837" t="s">
        <v>2052</v>
      </c>
      <c r="E837" t="s">
        <v>8</v>
      </c>
      <c r="F837" s="1">
        <f t="shared" si="561"/>
        <v>0</v>
      </c>
      <c r="G837" s="1">
        <f t="shared" si="561"/>
        <v>0</v>
      </c>
      <c r="H837" s="1">
        <f t="shared" si="561"/>
        <v>0</v>
      </c>
      <c r="I837" s="1">
        <f t="shared" si="561"/>
        <v>0</v>
      </c>
      <c r="J837" s="1">
        <f t="shared" si="561"/>
        <v>0.82844060243587059</v>
      </c>
      <c r="K837" s="1">
        <f t="shared" si="561"/>
        <v>2.1037932136453543</v>
      </c>
    </row>
    <row r="838" spans="2:13" x14ac:dyDescent="0.25">
      <c r="B838" s="5" t="str">
        <f t="shared" si="554"/>
        <v>SPS2</v>
      </c>
      <c r="C838" s="5" t="str">
        <f t="shared" si="557"/>
        <v>CH</v>
      </c>
      <c r="D838" t="s">
        <v>2053</v>
      </c>
      <c r="E838" t="s">
        <v>8</v>
      </c>
      <c r="F838" s="1">
        <f t="shared" si="561"/>
        <v>0.79613097631844076</v>
      </c>
      <c r="G838" s="1">
        <f t="shared" si="561"/>
        <v>1.3676957943756598</v>
      </c>
      <c r="H838" s="1">
        <f t="shared" si="561"/>
        <v>3.1629469032017843</v>
      </c>
      <c r="I838" s="1">
        <f t="shared" si="561"/>
        <v>2.5811113723161969</v>
      </c>
      <c r="J838" s="1">
        <f t="shared" si="561"/>
        <v>1.9634234203654288</v>
      </c>
      <c r="K838" s="1">
        <f t="shared" si="561"/>
        <v>1.2801928476784531E-3</v>
      </c>
    </row>
    <row r="839" spans="2:13" x14ac:dyDescent="0.25">
      <c r="B839" s="5" t="str">
        <f t="shared" si="554"/>
        <v>SPS2</v>
      </c>
      <c r="C839" s="5" t="str">
        <f t="shared" si="557"/>
        <v>CH</v>
      </c>
      <c r="D839" t="s">
        <v>2054</v>
      </c>
      <c r="E839" t="s">
        <v>8</v>
      </c>
      <c r="F839" s="1">
        <f t="shared" si="561"/>
        <v>0</v>
      </c>
      <c r="G839" s="1">
        <f t="shared" si="561"/>
        <v>0</v>
      </c>
      <c r="H839" s="1">
        <f t="shared" si="561"/>
        <v>0</v>
      </c>
      <c r="I839" s="1">
        <f t="shared" si="561"/>
        <v>0</v>
      </c>
      <c r="J839" s="1">
        <f t="shared" si="561"/>
        <v>1.9959575829692502</v>
      </c>
      <c r="K839" s="1">
        <f t="shared" si="561"/>
        <v>10.068413620458662</v>
      </c>
    </row>
    <row r="840" spans="2:13" x14ac:dyDescent="0.25">
      <c r="B840" s="5" t="str">
        <f t="shared" si="554"/>
        <v>SPS2</v>
      </c>
      <c r="C840" s="5" t="str">
        <f t="shared" si="557"/>
        <v>CH</v>
      </c>
      <c r="D840" t="s">
        <v>2055</v>
      </c>
      <c r="E840" t="s">
        <v>8</v>
      </c>
      <c r="F840" s="1">
        <f t="shared" si="561"/>
        <v>0</v>
      </c>
      <c r="G840" s="1">
        <f t="shared" si="561"/>
        <v>0</v>
      </c>
      <c r="H840" s="1">
        <f t="shared" si="561"/>
        <v>0</v>
      </c>
      <c r="I840" s="1">
        <f t="shared" si="561"/>
        <v>0.65628696982454915</v>
      </c>
      <c r="J840" s="1">
        <f t="shared" si="561"/>
        <v>0.32960808475974329</v>
      </c>
      <c r="K840" s="1">
        <f t="shared" si="561"/>
        <v>0.15671837651700055</v>
      </c>
      <c r="M840" s="1"/>
    </row>
    <row r="841" spans="2:13" x14ac:dyDescent="0.25">
      <c r="B841" s="5" t="str">
        <f t="shared" si="554"/>
        <v>SPS2</v>
      </c>
      <c r="C841" s="5" t="str">
        <f t="shared" si="557"/>
        <v>CH</v>
      </c>
      <c r="D841" t="s">
        <v>2056</v>
      </c>
      <c r="E841" t="s">
        <v>8</v>
      </c>
      <c r="F841" s="1">
        <f>[1]Industry!B$63</f>
        <v>6.5822786638558037</v>
      </c>
      <c r="G841" s="1">
        <f>[1]Industry!C$63</f>
        <v>7.0678495741628637</v>
      </c>
      <c r="H841" s="1">
        <f>[1]Industry!D$63</f>
        <v>6.8125060785707481</v>
      </c>
      <c r="I841" s="1">
        <f>[1]Industry!E$63</f>
        <v>6.7125271556264732</v>
      </c>
      <c r="J841" s="1">
        <f>[1]Industry!F$63</f>
        <v>9.6082723127741083</v>
      </c>
      <c r="K841" s="1">
        <f>[1]Industry!G$63</f>
        <v>11.272208957813309</v>
      </c>
    </row>
    <row r="842" spans="2:13" x14ac:dyDescent="0.25">
      <c r="B842" s="5" t="str">
        <f t="shared" si="554"/>
        <v>SPS2</v>
      </c>
      <c r="C842" s="5" t="str">
        <f t="shared" si="557"/>
        <v>CH</v>
      </c>
      <c r="D842" t="s">
        <v>2057</v>
      </c>
      <c r="E842" t="s">
        <v>8</v>
      </c>
      <c r="F842" s="1">
        <f>F843</f>
        <v>5.3111197026732508</v>
      </c>
      <c r="G842" s="1">
        <f t="shared" ref="G842:K842" si="562">G843</f>
        <v>6.2669387472082114</v>
      </c>
      <c r="H842" s="1">
        <f t="shared" si="562"/>
        <v>5.7741594157643759</v>
      </c>
      <c r="I842" s="1">
        <f t="shared" si="562"/>
        <v>5.8614337811935178</v>
      </c>
      <c r="J842" s="1">
        <f t="shared" si="562"/>
        <v>7.5952431878231819</v>
      </c>
      <c r="K842" s="1">
        <f t="shared" si="562"/>
        <v>5.7825407660602908</v>
      </c>
    </row>
    <row r="843" spans="2:13" x14ac:dyDescent="0.25">
      <c r="B843" s="5" t="str">
        <f t="shared" si="554"/>
        <v>SPS2</v>
      </c>
      <c r="C843" s="5" t="str">
        <f t="shared" si="557"/>
        <v>CH</v>
      </c>
      <c r="D843" t="s">
        <v>2058</v>
      </c>
      <c r="E843" t="s">
        <v>8</v>
      </c>
      <c r="F843" s="1">
        <f>[1]Industry!B$64</f>
        <v>5.3111197026732508</v>
      </c>
      <c r="G843" s="1">
        <f>[1]Industry!C$64</f>
        <v>6.2669387472082114</v>
      </c>
      <c r="H843" s="1">
        <f>[1]Industry!D$64</f>
        <v>5.7741594157643759</v>
      </c>
      <c r="I843" s="1">
        <f>[1]Industry!E$64</f>
        <v>5.8614337811935178</v>
      </c>
      <c r="J843" s="1">
        <f>[1]Industry!F$64</f>
        <v>7.5952431878231819</v>
      </c>
      <c r="K843" s="1">
        <f>[1]Industry!G$64</f>
        <v>5.7825407660602908</v>
      </c>
    </row>
    <row r="844" spans="2:13" x14ac:dyDescent="0.25">
      <c r="B844" s="5" t="str">
        <f t="shared" si="554"/>
        <v>SPS2</v>
      </c>
      <c r="C844" s="5" t="str">
        <f t="shared" si="557"/>
        <v>CH</v>
      </c>
      <c r="D844" t="s">
        <v>2059</v>
      </c>
      <c r="E844" t="s">
        <v>8</v>
      </c>
      <c r="F844" s="1">
        <f>F845</f>
        <v>0.46151876924203794</v>
      </c>
      <c r="G844" s="1">
        <f t="shared" ref="G844:K844" si="563">G845</f>
        <v>0.544575170185297</v>
      </c>
      <c r="H844" s="1">
        <f t="shared" si="563"/>
        <v>0.54618344961655574</v>
      </c>
      <c r="I844" s="1">
        <f t="shared" si="563"/>
        <v>0.54619875441867294</v>
      </c>
      <c r="J844" s="1">
        <f t="shared" si="563"/>
        <v>0.54621864418822974</v>
      </c>
      <c r="K844" s="1">
        <f t="shared" si="563"/>
        <v>0.54624041584368543</v>
      </c>
    </row>
    <row r="845" spans="2:13" x14ac:dyDescent="0.25">
      <c r="B845" s="5" t="str">
        <f t="shared" si="554"/>
        <v>SPS2</v>
      </c>
      <c r="C845" s="5" t="str">
        <f t="shared" si="557"/>
        <v>CH</v>
      </c>
      <c r="D845" t="s">
        <v>2060</v>
      </c>
      <c r="E845" t="s">
        <v>8</v>
      </c>
      <c r="F845" s="1">
        <f>[1]Industry!B$65</f>
        <v>0.46151876924203794</v>
      </c>
      <c r="G845" s="1">
        <f>[1]Industry!C$65</f>
        <v>0.544575170185297</v>
      </c>
      <c r="H845" s="1">
        <f>[1]Industry!D$65</f>
        <v>0.54618344961655574</v>
      </c>
      <c r="I845" s="1">
        <f>[1]Industry!E$65</f>
        <v>0.54619875441867294</v>
      </c>
      <c r="J845" s="1">
        <f>[1]Industry!F$65</f>
        <v>0.54621864418822974</v>
      </c>
      <c r="K845" s="1">
        <f>[1]Industry!G$65</f>
        <v>0.54624041584368543</v>
      </c>
    </row>
    <row r="846" spans="2:13" x14ac:dyDescent="0.25">
      <c r="B846" s="5" t="str">
        <f t="shared" si="554"/>
        <v>SPS2</v>
      </c>
      <c r="C846" s="5" t="str">
        <f t="shared" si="557"/>
        <v>CH</v>
      </c>
      <c r="D846" t="s">
        <v>2061</v>
      </c>
      <c r="E846" t="s">
        <v>8</v>
      </c>
      <c r="F846" s="1">
        <f>F847</f>
        <v>4.1173661477400847</v>
      </c>
      <c r="G846" s="1">
        <f t="shared" ref="G846:K846" si="564">G847</f>
        <v>4.2663178418469228</v>
      </c>
      <c r="H846" s="1">
        <f t="shared" si="564"/>
        <v>2.96116830563804</v>
      </c>
      <c r="I846" s="1">
        <f t="shared" si="564"/>
        <v>3.1368278562993241</v>
      </c>
      <c r="J846" s="1">
        <f t="shared" si="564"/>
        <v>2.8825387471109885</v>
      </c>
      <c r="K846" s="1">
        <f t="shared" si="564"/>
        <v>1.4961933620589877E-4</v>
      </c>
    </row>
    <row r="847" spans="2:13" x14ac:dyDescent="0.25">
      <c r="B847" s="5" t="str">
        <f t="shared" si="554"/>
        <v>SPS2</v>
      </c>
      <c r="C847" s="5" t="str">
        <f t="shared" si="557"/>
        <v>CH</v>
      </c>
      <c r="D847" t="s">
        <v>2062</v>
      </c>
      <c r="E847" t="s">
        <v>8</v>
      </c>
      <c r="F847" s="1">
        <f>[1]Industry!B$66</f>
        <v>4.1173661477400847</v>
      </c>
      <c r="G847" s="1">
        <f>[1]Industry!C$66</f>
        <v>4.2663178418469228</v>
      </c>
      <c r="H847" s="1">
        <f>[1]Industry!D$66</f>
        <v>2.96116830563804</v>
      </c>
      <c r="I847" s="1">
        <f>[1]Industry!E$66</f>
        <v>3.1368278562993241</v>
      </c>
      <c r="J847" s="1">
        <f>[1]Industry!F$66</f>
        <v>2.8825387471109885</v>
      </c>
      <c r="K847" s="1">
        <f>[1]Industry!G$66</f>
        <v>1.4961933620589877E-4</v>
      </c>
    </row>
    <row r="848" spans="2:13" x14ac:dyDescent="0.25">
      <c r="B848" s="5" t="str">
        <f t="shared" si="554"/>
        <v>SPS2</v>
      </c>
      <c r="C848" s="5" t="str">
        <f t="shared" si="557"/>
        <v>CH</v>
      </c>
      <c r="D848" t="s">
        <v>2063</v>
      </c>
      <c r="E848" t="s">
        <v>8</v>
      </c>
      <c r="F848" s="1">
        <f>F849</f>
        <v>6.7637070992191017E-2</v>
      </c>
      <c r="G848" s="1">
        <f t="shared" ref="G848:K848" si="565">G849</f>
        <v>8.5492605440850286E-2</v>
      </c>
      <c r="H848" s="1">
        <f t="shared" si="565"/>
        <v>0.10033519147746132</v>
      </c>
      <c r="I848" s="1">
        <f t="shared" si="565"/>
        <v>0.10588865801491035</v>
      </c>
      <c r="J848" s="1">
        <f t="shared" si="565"/>
        <v>0.10047740525335749</v>
      </c>
      <c r="K848" s="1">
        <f t="shared" si="565"/>
        <v>6.6193412664370954E-2</v>
      </c>
    </row>
    <row r="849" spans="2:11" x14ac:dyDescent="0.25">
      <c r="B849" s="5" t="str">
        <f t="shared" si="554"/>
        <v>SPS2</v>
      </c>
      <c r="C849" s="5" t="str">
        <f t="shared" si="557"/>
        <v>CH</v>
      </c>
      <c r="D849" t="s">
        <v>2064</v>
      </c>
      <c r="E849" t="s">
        <v>8</v>
      </c>
      <c r="F849" s="1">
        <f>[1]Industry!B$67</f>
        <v>6.7637070992191017E-2</v>
      </c>
      <c r="G849" s="1">
        <f>[1]Industry!C$67</f>
        <v>8.5492605440850286E-2</v>
      </c>
      <c r="H849" s="1">
        <f>[1]Industry!D$67</f>
        <v>0.10033519147746132</v>
      </c>
      <c r="I849" s="1">
        <f>[1]Industry!E$67</f>
        <v>0.10588865801491035</v>
      </c>
      <c r="J849" s="1">
        <f>[1]Industry!F$67</f>
        <v>0.10047740525335749</v>
      </c>
      <c r="K849" s="1">
        <f>[1]Industry!G$67</f>
        <v>6.6193412664370954E-2</v>
      </c>
    </row>
    <row r="850" spans="2:11" x14ac:dyDescent="0.25">
      <c r="B850" s="5" t="str">
        <f t="shared" si="554"/>
        <v>SPS2</v>
      </c>
      <c r="C850" s="5" t="str">
        <f t="shared" si="557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66">G851</f>
        <v>0</v>
      </c>
      <c r="H850" s="1">
        <f t="shared" si="566"/>
        <v>0</v>
      </c>
      <c r="I850" s="1">
        <f t="shared" si="566"/>
        <v>14.911434159683969</v>
      </c>
      <c r="J850" s="1">
        <f t="shared" si="566"/>
        <v>14.913688459375546</v>
      </c>
      <c r="K850" s="1">
        <f t="shared" si="566"/>
        <v>16.119491744926083</v>
      </c>
    </row>
    <row r="851" spans="2:11" x14ac:dyDescent="0.25">
      <c r="B851" s="5" t="str">
        <f t="shared" si="554"/>
        <v>SPS2</v>
      </c>
      <c r="C851" s="5" t="str">
        <f t="shared" si="557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14.911434159683969</v>
      </c>
      <c r="J851" s="1">
        <f>[1]Industry!F$69</f>
        <v>14.913688459375546</v>
      </c>
      <c r="K851" s="1">
        <f>[1]Industry!G$69</f>
        <v>16.119491744926083</v>
      </c>
    </row>
    <row r="852" spans="2:11" x14ac:dyDescent="0.25">
      <c r="B852" s="5" t="str">
        <f t="shared" si="554"/>
        <v>SPS2</v>
      </c>
      <c r="C852" s="5" t="str">
        <f t="shared" si="557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67">SUM(G853:G854)</f>
        <v>4.8942918584481045</v>
      </c>
      <c r="H852" s="1">
        <f t="shared" si="567"/>
        <v>4.8943035219931517</v>
      </c>
      <c r="I852" s="1">
        <f t="shared" si="567"/>
        <v>4.8943013861806772</v>
      </c>
      <c r="J852" s="1">
        <f t="shared" si="567"/>
        <v>5.3346400267223659</v>
      </c>
      <c r="K852" s="1">
        <f t="shared" si="567"/>
        <v>6.8176964436684671</v>
      </c>
    </row>
    <row r="853" spans="2:11" x14ac:dyDescent="0.25">
      <c r="B853" s="5" t="str">
        <f t="shared" si="554"/>
        <v>SPS2</v>
      </c>
      <c r="C853" s="5" t="str">
        <f t="shared" si="557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0.63529135863603958</v>
      </c>
      <c r="H853" s="1">
        <f>[1]Industry!D$6-H854</f>
        <v>0.63525696829010148</v>
      </c>
      <c r="I853" s="1">
        <f>[1]Industry!E$6-I854</f>
        <v>0.63526205407933389</v>
      </c>
      <c r="J853" s="1">
        <f>[1]Industry!F$6-J854</f>
        <v>0.50494715417301084</v>
      </c>
      <c r="K853" s="1">
        <f>[1]Industry!G$6-K854</f>
        <v>0.51026697866944115</v>
      </c>
    </row>
    <row r="854" spans="2:11" x14ac:dyDescent="0.25">
      <c r="B854" s="5" t="str">
        <f t="shared" si="554"/>
        <v>SPS2</v>
      </c>
      <c r="C854" s="5" t="str">
        <f t="shared" si="557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4.259000499812065</v>
      </c>
      <c r="H854" s="1">
        <f>[1]Industry!D$70</f>
        <v>4.2590465537030502</v>
      </c>
      <c r="I854" s="1">
        <f>[1]Industry!E$70</f>
        <v>4.2590393321013433</v>
      </c>
      <c r="J854" s="1">
        <f>[1]Industry!F$70</f>
        <v>4.8296928725493551</v>
      </c>
      <c r="K854" s="1">
        <f>[1]Industry!G$70</f>
        <v>6.3074294649990259</v>
      </c>
    </row>
    <row r="855" spans="2:11" x14ac:dyDescent="0.25">
      <c r="B855" s="9" t="str">
        <f t="shared" si="554"/>
        <v>SPS2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 t="shared" si="554"/>
        <v>SPS2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0.84261542941328449</v>
      </c>
      <c r="G856" s="4">
        <f t="shared" ref="G856:K856" si="568">IFERROR(G818/G763,"-")</f>
        <v>0.84306236513985211</v>
      </c>
      <c r="H856" s="4">
        <f t="shared" si="568"/>
        <v>0.84373276872970626</v>
      </c>
      <c r="I856" s="4">
        <f t="shared" si="568"/>
        <v>0.84485010804612892</v>
      </c>
      <c r="J856" s="4">
        <f t="shared" si="568"/>
        <v>0.84708478667897757</v>
      </c>
      <c r="K856" s="4">
        <f t="shared" si="568"/>
        <v>0.84931946531182256</v>
      </c>
    </row>
    <row r="857" spans="2:11" x14ac:dyDescent="0.25">
      <c r="B857" s="5" t="str">
        <f t="shared" si="554"/>
        <v>SPS2</v>
      </c>
      <c r="C857" s="5" t="str">
        <f t="shared" ref="C857:C879" si="569">C856</f>
        <v>CH</v>
      </c>
      <c r="D857" t="s">
        <v>2071</v>
      </c>
      <c r="E857" t="s">
        <v>240</v>
      </c>
      <c r="F857" s="4">
        <f t="shared" ref="F857:K857" si="570">IFERROR(F819/F764,"-")</f>
        <v>3.0809801822513276</v>
      </c>
      <c r="G857" s="4">
        <f t="shared" si="570"/>
        <v>3.1055374774069131</v>
      </c>
      <c r="H857" s="4">
        <f t="shared" si="570"/>
        <v>3.1423734201402915</v>
      </c>
      <c r="I857" s="4">
        <f t="shared" si="570"/>
        <v>3.2037666580292479</v>
      </c>
      <c r="J857" s="4">
        <f t="shared" si="570"/>
        <v>3.3265531338071685</v>
      </c>
      <c r="K857" s="4">
        <f t="shared" si="570"/>
        <v>3.4493396095850875</v>
      </c>
    </row>
    <row r="858" spans="2:11" x14ac:dyDescent="0.25">
      <c r="B858" s="5" t="str">
        <f t="shared" si="554"/>
        <v>SPS2</v>
      </c>
      <c r="C858" s="5" t="str">
        <f t="shared" si="569"/>
        <v>CH</v>
      </c>
      <c r="D858" t="s">
        <v>2072</v>
      </c>
      <c r="E858" t="s">
        <v>240</v>
      </c>
      <c r="F858" s="4">
        <f t="shared" ref="F858:K858" si="571">IFERROR(F820/F765,"-")</f>
        <v>1</v>
      </c>
      <c r="G858" s="4">
        <f t="shared" si="571"/>
        <v>0.99999997833958765</v>
      </c>
      <c r="H858" s="4">
        <f t="shared" si="571"/>
        <v>0.99999997900739657</v>
      </c>
      <c r="I858" s="4">
        <f t="shared" si="571"/>
        <v>1.00000280626015</v>
      </c>
      <c r="J858" s="4">
        <f t="shared" si="571"/>
        <v>1.0000029698038313</v>
      </c>
      <c r="K858" s="4">
        <f t="shared" si="571"/>
        <v>0.96446238700825826</v>
      </c>
    </row>
    <row r="859" spans="2:11" x14ac:dyDescent="0.25">
      <c r="B859" s="5" t="str">
        <f t="shared" si="554"/>
        <v>SPS2</v>
      </c>
      <c r="C859" s="5" t="str">
        <f t="shared" si="569"/>
        <v>CH</v>
      </c>
      <c r="D859" t="s">
        <v>2073</v>
      </c>
      <c r="E859" t="s">
        <v>240</v>
      </c>
      <c r="F859" s="4">
        <f>IFERROR(F822/F767,"-")</f>
        <v>0.77746213224363525</v>
      </c>
      <c r="G859" s="4">
        <f t="shared" ref="G859:K860" si="572">IFERROR(G822/G767,"-")</f>
        <v>0.77871988564932371</v>
      </c>
      <c r="H859" s="4">
        <f t="shared" si="572"/>
        <v>0.78060651575785545</v>
      </c>
      <c r="I859" s="4">
        <f t="shared" si="572"/>
        <v>0.78375089927207653</v>
      </c>
      <c r="J859" s="4">
        <f t="shared" si="572"/>
        <v>0.79003966630051825</v>
      </c>
      <c r="K859" s="4">
        <f t="shared" si="572"/>
        <v>0.79632843332896097</v>
      </c>
    </row>
    <row r="860" spans="2:11" x14ac:dyDescent="0.25">
      <c r="B860" s="5" t="str">
        <f t="shared" si="554"/>
        <v>SPS2</v>
      </c>
      <c r="C860" s="5" t="str">
        <f t="shared" si="569"/>
        <v>CH</v>
      </c>
      <c r="D860" t="s">
        <v>2074</v>
      </c>
      <c r="E860" t="s">
        <v>240</v>
      </c>
      <c r="F860" s="4">
        <f>IFERROR(F823/F768,"-")</f>
        <v>0.67612499999999931</v>
      </c>
      <c r="G860" s="4">
        <f t="shared" si="572"/>
        <v>0.67905000000000038</v>
      </c>
      <c r="H860" s="4">
        <f t="shared" si="572"/>
        <v>0.68343750000000025</v>
      </c>
      <c r="I860" s="4">
        <f t="shared" si="572"/>
        <v>0.6907500000000002</v>
      </c>
      <c r="J860" s="4">
        <f t="shared" si="572"/>
        <v>0.70537499999999953</v>
      </c>
      <c r="K860" s="4" t="str">
        <f t="shared" si="572"/>
        <v>-</v>
      </c>
    </row>
    <row r="861" spans="2:11" x14ac:dyDescent="0.25">
      <c r="B861" s="5" t="str">
        <f t="shared" si="554"/>
        <v>SPS2</v>
      </c>
      <c r="C861" s="5" t="str">
        <f t="shared" si="569"/>
        <v>CH</v>
      </c>
      <c r="D861" t="s">
        <v>2075</v>
      </c>
      <c r="E861" t="s">
        <v>240</v>
      </c>
      <c r="F861" s="4">
        <f>IFERROR(F825/F777,"-")</f>
        <v>0.80512577758209924</v>
      </c>
      <c r="G861" s="4">
        <f t="shared" ref="G861:K863" si="573">IFERROR(G825/G777,"-")</f>
        <v>0.80575490930029769</v>
      </c>
      <c r="H861" s="4">
        <f t="shared" si="573"/>
        <v>0.80710632732032328</v>
      </c>
      <c r="I861" s="4">
        <f t="shared" si="573"/>
        <v>0.82463484112267138</v>
      </c>
      <c r="J861" s="4">
        <f t="shared" si="573"/>
        <v>0.81345142943764692</v>
      </c>
      <c r="K861" s="4">
        <f t="shared" si="573"/>
        <v>0.34249414215474172</v>
      </c>
    </row>
    <row r="862" spans="2:11" x14ac:dyDescent="0.25">
      <c r="B862" s="5" t="str">
        <f t="shared" si="554"/>
        <v>SPS2</v>
      </c>
      <c r="C862" s="5" t="str">
        <f t="shared" si="56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573"/>
        <v>0</v>
      </c>
      <c r="H862" s="4" t="str">
        <f t="shared" si="573"/>
        <v>-</v>
      </c>
      <c r="I862" s="4" t="str">
        <f t="shared" si="573"/>
        <v>-</v>
      </c>
      <c r="J862" s="4" t="str">
        <f t="shared" si="573"/>
        <v>-</v>
      </c>
      <c r="K862" s="4" t="str">
        <f t="shared" si="573"/>
        <v>-</v>
      </c>
    </row>
    <row r="863" spans="2:11" x14ac:dyDescent="0.25">
      <c r="B863" s="5" t="str">
        <f t="shared" si="554"/>
        <v>SPS2</v>
      </c>
      <c r="C863" s="5" t="str">
        <f t="shared" si="569"/>
        <v>CH</v>
      </c>
      <c r="D863" t="s">
        <v>2077</v>
      </c>
      <c r="E863" t="s">
        <v>240</v>
      </c>
      <c r="F863" s="4">
        <f>IFERROR(F827/F779,"-")</f>
        <v>0.70230504802390725</v>
      </c>
      <c r="G863" s="4">
        <f t="shared" si="573"/>
        <v>0.70863964880541241</v>
      </c>
      <c r="H863" s="4">
        <f t="shared" si="573"/>
        <v>0.71099999999999985</v>
      </c>
      <c r="I863" s="4">
        <f t="shared" si="573"/>
        <v>0.71099999999999997</v>
      </c>
      <c r="J863" s="4">
        <f t="shared" si="573"/>
        <v>0.7109999999999993</v>
      </c>
      <c r="K863" s="4">
        <f t="shared" si="573"/>
        <v>0.72000000000000031</v>
      </c>
    </row>
    <row r="864" spans="2:11" x14ac:dyDescent="0.25">
      <c r="B864" s="5" t="str">
        <f t="shared" si="554"/>
        <v>SPS2</v>
      </c>
      <c r="C864" s="5" t="str">
        <f t="shared" si="569"/>
        <v>CH</v>
      </c>
      <c r="D864" t="s">
        <v>2078</v>
      </c>
      <c r="E864" t="s">
        <v>240</v>
      </c>
      <c r="F864" s="4">
        <f>IFERROR(F829/F788,"-")</f>
        <v>0.66499999999999992</v>
      </c>
      <c r="G864" s="4">
        <f t="shared" ref="G864:K864" si="574">IFERROR(G829/G788,"-")</f>
        <v>0.66599999999999981</v>
      </c>
      <c r="H864" s="4">
        <f t="shared" si="574"/>
        <v>0.66749999999999954</v>
      </c>
      <c r="I864" s="4">
        <f t="shared" si="574"/>
        <v>0.67000000000000037</v>
      </c>
      <c r="J864" s="4">
        <f t="shared" si="574"/>
        <v>0.67500000000000004</v>
      </c>
      <c r="K864" s="4" t="str">
        <f t="shared" si="574"/>
        <v>-</v>
      </c>
    </row>
    <row r="865" spans="2:12" x14ac:dyDescent="0.25">
      <c r="B865" s="5" t="str">
        <f t="shared" si="554"/>
        <v>SPS2</v>
      </c>
      <c r="C865" s="5" t="str">
        <f t="shared" si="569"/>
        <v>CH</v>
      </c>
      <c r="D865" t="s">
        <v>2079</v>
      </c>
      <c r="E865" t="s">
        <v>240</v>
      </c>
      <c r="F865" s="4">
        <f>IFERROR(F832/F791,"-")</f>
        <v>1.207104156956436</v>
      </c>
      <c r="G865" s="4">
        <f t="shared" ref="G865:K865" si="575">IFERROR(G832/G791,"-")</f>
        <v>0.98866183329294921</v>
      </c>
      <c r="H865" s="4">
        <f t="shared" si="575"/>
        <v>0.93990514772197098</v>
      </c>
      <c r="I865" s="4">
        <f t="shared" si="575"/>
        <v>0.96810874294174376</v>
      </c>
      <c r="J865" s="4">
        <f t="shared" si="575"/>
        <v>0.94340307998884199</v>
      </c>
      <c r="K865" s="4">
        <f t="shared" si="575"/>
        <v>0.94947707721973051</v>
      </c>
    </row>
    <row r="866" spans="2:12" x14ac:dyDescent="0.25">
      <c r="B866" s="5" t="str">
        <f t="shared" si="554"/>
        <v>SPS2</v>
      </c>
      <c r="C866" s="5" t="str">
        <f t="shared" si="569"/>
        <v>CH</v>
      </c>
      <c r="D866" t="s">
        <v>2080</v>
      </c>
      <c r="E866" t="s">
        <v>240</v>
      </c>
      <c r="F866" s="4">
        <f t="shared" ref="F866:K874" si="576">IFERROR(F833/F792,"-")</f>
        <v>1.207104156956436</v>
      </c>
      <c r="G866" s="4">
        <f t="shared" si="576"/>
        <v>0.98866183329294943</v>
      </c>
      <c r="H866" s="4">
        <f t="shared" si="576"/>
        <v>0.93990514772197087</v>
      </c>
      <c r="I866" s="4">
        <f t="shared" si="576"/>
        <v>0.96810874294174387</v>
      </c>
      <c r="J866" s="4">
        <f t="shared" si="576"/>
        <v>0.9434030799888421</v>
      </c>
      <c r="K866" s="4">
        <f t="shared" si="576"/>
        <v>0.94947707721973051</v>
      </c>
    </row>
    <row r="867" spans="2:12" x14ac:dyDescent="0.25">
      <c r="B867" s="5" t="str">
        <f t="shared" si="554"/>
        <v>SPS2</v>
      </c>
      <c r="C867" s="5" t="str">
        <f t="shared" si="569"/>
        <v>CH</v>
      </c>
      <c r="D867" t="s">
        <v>2081</v>
      </c>
      <c r="E867" t="s">
        <v>240</v>
      </c>
      <c r="F867" s="4" t="str">
        <f t="shared" si="576"/>
        <v>-</v>
      </c>
      <c r="G867" s="4" t="str">
        <f t="shared" si="576"/>
        <v>-</v>
      </c>
      <c r="H867" s="4" t="str">
        <f t="shared" si="576"/>
        <v>-</v>
      </c>
      <c r="I867" s="4" t="str">
        <f t="shared" si="576"/>
        <v>-</v>
      </c>
      <c r="J867" s="4">
        <f t="shared" si="576"/>
        <v>0.9434030799888421</v>
      </c>
      <c r="K867" s="4">
        <f t="shared" si="576"/>
        <v>0.94947707721973051</v>
      </c>
    </row>
    <row r="868" spans="2:12" x14ac:dyDescent="0.25">
      <c r="B868" s="5" t="str">
        <f t="shared" si="554"/>
        <v>SPS2</v>
      </c>
      <c r="C868" s="5" t="str">
        <f t="shared" si="569"/>
        <v>CH</v>
      </c>
      <c r="D868" t="s">
        <v>2082</v>
      </c>
      <c r="E868" t="s">
        <v>240</v>
      </c>
      <c r="F868" s="4" t="str">
        <f t="shared" si="576"/>
        <v>-</v>
      </c>
      <c r="G868" s="4" t="str">
        <f t="shared" si="576"/>
        <v>-</v>
      </c>
      <c r="H868" s="4" t="str">
        <f t="shared" si="576"/>
        <v>-</v>
      </c>
      <c r="I868" s="4">
        <f t="shared" si="576"/>
        <v>0.96810874294174387</v>
      </c>
      <c r="J868" s="4">
        <f t="shared" si="576"/>
        <v>0.9434030799888421</v>
      </c>
      <c r="K868" s="4">
        <f t="shared" si="576"/>
        <v>0.9494770772197304</v>
      </c>
    </row>
    <row r="869" spans="2:12" x14ac:dyDescent="0.25">
      <c r="B869" s="5" t="str">
        <f t="shared" si="554"/>
        <v>SPS2</v>
      </c>
      <c r="C869" s="5" t="str">
        <f t="shared" si="569"/>
        <v>CH</v>
      </c>
      <c r="D869" t="s">
        <v>2083</v>
      </c>
      <c r="E869" t="s">
        <v>240</v>
      </c>
      <c r="F869" s="4">
        <f t="shared" si="576"/>
        <v>1.207104156956436</v>
      </c>
      <c r="G869" s="4">
        <f t="shared" si="576"/>
        <v>0.98866183329294943</v>
      </c>
      <c r="H869" s="4">
        <f t="shared" si="576"/>
        <v>0.93990514772197087</v>
      </c>
      <c r="I869" s="4">
        <f t="shared" si="576"/>
        <v>0.96810874294174376</v>
      </c>
      <c r="J869" s="4">
        <f t="shared" si="576"/>
        <v>0.9434030799888421</v>
      </c>
      <c r="K869" s="4">
        <f t="shared" si="576"/>
        <v>0.94947707721973063</v>
      </c>
    </row>
    <row r="870" spans="2:12" x14ac:dyDescent="0.25">
      <c r="B870" s="5" t="str">
        <f t="shared" si="554"/>
        <v>SPS2</v>
      </c>
      <c r="C870" s="5" t="str">
        <f t="shared" si="569"/>
        <v>CH</v>
      </c>
      <c r="D870" t="s">
        <v>2084</v>
      </c>
      <c r="E870" t="s">
        <v>240</v>
      </c>
      <c r="F870" s="4" t="str">
        <f t="shared" si="576"/>
        <v>-</v>
      </c>
      <c r="G870" s="4" t="str">
        <f t="shared" si="576"/>
        <v>-</v>
      </c>
      <c r="H870" s="4" t="str">
        <f t="shared" si="576"/>
        <v>-</v>
      </c>
      <c r="I870" s="4" t="str">
        <f t="shared" si="576"/>
        <v>-</v>
      </c>
      <c r="J870" s="4">
        <f t="shared" si="576"/>
        <v>0.94340307998884221</v>
      </c>
      <c r="K870" s="4">
        <f t="shared" si="576"/>
        <v>0.94947707721973051</v>
      </c>
    </row>
    <row r="871" spans="2:12" x14ac:dyDescent="0.25">
      <c r="B871" s="5" t="str">
        <f t="shared" si="554"/>
        <v>SPS2</v>
      </c>
      <c r="C871" s="5" t="str">
        <f t="shared" si="569"/>
        <v>CH</v>
      </c>
      <c r="D871" t="s">
        <v>2085</v>
      </c>
      <c r="E871" t="s">
        <v>240</v>
      </c>
      <c r="F871" s="4">
        <f t="shared" si="576"/>
        <v>1.207104156956436</v>
      </c>
      <c r="G871" s="4">
        <f t="shared" si="576"/>
        <v>0.98866183329294921</v>
      </c>
      <c r="H871" s="4">
        <f t="shared" si="576"/>
        <v>0.93990514772197076</v>
      </c>
      <c r="I871" s="4">
        <f t="shared" si="576"/>
        <v>0.96810874294174387</v>
      </c>
      <c r="J871" s="4">
        <f t="shared" si="576"/>
        <v>0.9434030799888421</v>
      </c>
      <c r="K871" s="4">
        <f t="shared" si="576"/>
        <v>0.94947707721973051</v>
      </c>
    </row>
    <row r="872" spans="2:12" x14ac:dyDescent="0.25">
      <c r="B872" s="5" t="str">
        <f t="shared" si="554"/>
        <v>SPS2</v>
      </c>
      <c r="C872" s="5" t="str">
        <f t="shared" si="569"/>
        <v>CH</v>
      </c>
      <c r="D872" t="s">
        <v>2086</v>
      </c>
      <c r="E872" t="s">
        <v>240</v>
      </c>
      <c r="F872" s="4" t="str">
        <f t="shared" si="576"/>
        <v>-</v>
      </c>
      <c r="G872" s="4" t="str">
        <f t="shared" si="576"/>
        <v>-</v>
      </c>
      <c r="H872" s="4" t="str">
        <f t="shared" si="576"/>
        <v>-</v>
      </c>
      <c r="I872" s="4" t="str">
        <f t="shared" si="576"/>
        <v>-</v>
      </c>
      <c r="J872" s="4">
        <f t="shared" si="576"/>
        <v>0.9434030799888421</v>
      </c>
      <c r="K872" s="4">
        <f t="shared" si="576"/>
        <v>0.94947707721973051</v>
      </c>
    </row>
    <row r="873" spans="2:12" x14ac:dyDescent="0.25">
      <c r="B873" s="5" t="str">
        <f t="shared" si="554"/>
        <v>SPS2</v>
      </c>
      <c r="C873" s="5" t="str">
        <f t="shared" si="569"/>
        <v>CH</v>
      </c>
      <c r="D873" t="s">
        <v>2087</v>
      </c>
      <c r="E873" t="s">
        <v>240</v>
      </c>
      <c r="F873" s="4" t="str">
        <f t="shared" si="576"/>
        <v>-</v>
      </c>
      <c r="G873" s="4" t="str">
        <f t="shared" si="576"/>
        <v>-</v>
      </c>
      <c r="H873" s="4" t="str">
        <f t="shared" si="576"/>
        <v>-</v>
      </c>
      <c r="I873" s="4">
        <f t="shared" si="576"/>
        <v>0.96810874294174398</v>
      </c>
      <c r="J873" s="4">
        <f t="shared" si="576"/>
        <v>0.94340307998884221</v>
      </c>
      <c r="K873" s="4">
        <f t="shared" si="576"/>
        <v>0.94947707721973051</v>
      </c>
    </row>
    <row r="874" spans="2:12" x14ac:dyDescent="0.25">
      <c r="B874" s="5" t="str">
        <f t="shared" si="554"/>
        <v>SPS2</v>
      </c>
      <c r="C874" s="5" t="str">
        <f t="shared" si="569"/>
        <v>CH</v>
      </c>
      <c r="D874" t="s">
        <v>2088</v>
      </c>
      <c r="E874" t="s">
        <v>240</v>
      </c>
      <c r="F874" s="4">
        <f t="shared" si="576"/>
        <v>0.92447626236575087</v>
      </c>
      <c r="G874" s="4">
        <f t="shared" si="576"/>
        <v>0.92645636412827326</v>
      </c>
      <c r="H874" s="4">
        <f t="shared" si="576"/>
        <v>0.92942651677205335</v>
      </c>
      <c r="I874" s="4">
        <f t="shared" si="576"/>
        <v>0.93437677117835782</v>
      </c>
      <c r="J874" s="4">
        <f t="shared" si="576"/>
        <v>0.94427727999096589</v>
      </c>
      <c r="K874" s="4">
        <f>IFERROR(K841/K800,"-")</f>
        <v>0.94999999999999984</v>
      </c>
    </row>
    <row r="875" spans="2:12" x14ac:dyDescent="0.25">
      <c r="B875" s="5" t="str">
        <f t="shared" si="554"/>
        <v>SPS2</v>
      </c>
      <c r="C875" s="5" t="str">
        <f t="shared" si="569"/>
        <v>CH</v>
      </c>
      <c r="D875" t="s">
        <v>2089</v>
      </c>
      <c r="E875" t="s">
        <v>240</v>
      </c>
      <c r="F875" s="4">
        <f>IFERROR(F843/F802,"-")</f>
        <v>0.59000000000000086</v>
      </c>
      <c r="G875" s="4">
        <f t="shared" ref="G875:K875" si="577">IFERROR(G843/G802,"-")</f>
        <v>0.59066666666666656</v>
      </c>
      <c r="H875" s="4">
        <f t="shared" si="577"/>
        <v>0.59166666666666623</v>
      </c>
      <c r="I875" s="4">
        <f t="shared" si="577"/>
        <v>0.59333333333333327</v>
      </c>
      <c r="J875" s="4">
        <f t="shared" si="577"/>
        <v>0.59666666666666768</v>
      </c>
      <c r="K875" s="4">
        <f t="shared" si="577"/>
        <v>0.60000000000000009</v>
      </c>
    </row>
    <row r="876" spans="2:12" x14ac:dyDescent="0.25">
      <c r="B876" s="5" t="str">
        <f t="shared" si="554"/>
        <v>SPS2</v>
      </c>
      <c r="C876" s="5" t="str">
        <f t="shared" si="569"/>
        <v>CH</v>
      </c>
      <c r="D876" t="s">
        <v>2090</v>
      </c>
      <c r="E876" t="s">
        <v>240</v>
      </c>
      <c r="F876" s="4">
        <f>IFERROR(F845/F804,"-")</f>
        <v>0.73749999999999993</v>
      </c>
      <c r="G876" s="4">
        <f t="shared" ref="G876:K876" si="578">IFERROR(G845/G804,"-")</f>
        <v>0.73833333333333384</v>
      </c>
      <c r="H876" s="4">
        <f t="shared" si="578"/>
        <v>0.73958333333333415</v>
      </c>
      <c r="I876" s="4">
        <f t="shared" si="578"/>
        <v>0.74166666666666681</v>
      </c>
      <c r="J876" s="4">
        <f t="shared" si="578"/>
        <v>0.74583333333333279</v>
      </c>
      <c r="K876" s="4">
        <f t="shared" si="578"/>
        <v>0.75000000000000056</v>
      </c>
    </row>
    <row r="877" spans="2:12" x14ac:dyDescent="0.25">
      <c r="B877" s="5" t="str">
        <f t="shared" si="554"/>
        <v>SPS2</v>
      </c>
      <c r="C877" s="5" t="str">
        <f t="shared" si="569"/>
        <v>CH</v>
      </c>
      <c r="D877" t="s">
        <v>2091</v>
      </c>
      <c r="E877" t="s">
        <v>240</v>
      </c>
      <c r="F877" s="4">
        <f>IFERROR(F847/F806,"-")</f>
        <v>0.52799999999999969</v>
      </c>
      <c r="G877" s="4">
        <f t="shared" ref="G877:K877" si="579">IFERROR(G847/G806,"-")</f>
        <v>0.5279999999999998</v>
      </c>
      <c r="H877" s="4">
        <f t="shared" si="579"/>
        <v>0.5279999999999998</v>
      </c>
      <c r="I877" s="4">
        <f t="shared" si="579"/>
        <v>0.52800000000000114</v>
      </c>
      <c r="J877" s="4">
        <f t="shared" si="579"/>
        <v>0.52799999999999969</v>
      </c>
      <c r="K877" s="4">
        <f t="shared" si="579"/>
        <v>0.54399999999999971</v>
      </c>
    </row>
    <row r="878" spans="2:12" x14ac:dyDescent="0.25">
      <c r="B878" s="5" t="str">
        <f t="shared" si="554"/>
        <v>SPS2</v>
      </c>
      <c r="C878" s="5" t="str">
        <f t="shared" si="56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580">IFERROR(G849/G810,"-")</f>
        <v>1</v>
      </c>
      <c r="H878" s="4">
        <f t="shared" si="580"/>
        <v>1</v>
      </c>
      <c r="I878" s="4">
        <f t="shared" si="580"/>
        <v>1</v>
      </c>
      <c r="J878" s="4">
        <f t="shared" si="580"/>
        <v>1</v>
      </c>
      <c r="K878" s="4">
        <f t="shared" si="580"/>
        <v>1</v>
      </c>
    </row>
    <row r="879" spans="2:12" x14ac:dyDescent="0.25">
      <c r="B879" s="5" t="str">
        <f t="shared" si="554"/>
        <v>SPS2</v>
      </c>
      <c r="C879" s="5" t="str">
        <f t="shared" si="56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581">IFERROR(G851/G812,"-")</f>
        <v>-</v>
      </c>
      <c r="H879" s="4">
        <f t="shared" si="581"/>
        <v>0</v>
      </c>
      <c r="I879" s="4">
        <f t="shared" si="581"/>
        <v>0.79667810148397478</v>
      </c>
      <c r="J879" s="4">
        <f t="shared" si="581"/>
        <v>0.80794228184755301</v>
      </c>
      <c r="K879" s="4">
        <f t="shared" si="581"/>
        <v>0.8120461526499092</v>
      </c>
    </row>
    <row r="880" spans="2:12" x14ac:dyDescent="0.25">
      <c r="B880" s="9" t="str">
        <f t="shared" si="554"/>
        <v>SPS2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582">F881+F885+F892+F903+F911+F913+F915+F917+F921</f>
        <v>140.1010861428968</v>
      </c>
      <c r="G880" s="17">
        <f t="shared" si="582"/>
        <v>136.75114880625657</v>
      </c>
      <c r="H880" s="17">
        <f t="shared" si="582"/>
        <v>128.12821099217263</v>
      </c>
      <c r="I880" s="17">
        <f t="shared" si="582"/>
        <v>118.94567114631191</v>
      </c>
      <c r="J880" s="17">
        <f t="shared" si="582"/>
        <v>105.90744389502653</v>
      </c>
      <c r="K880" s="17">
        <f t="shared" si="582"/>
        <v>92.822646272985367</v>
      </c>
      <c r="L880" s="17"/>
    </row>
    <row r="881" spans="2:12" x14ac:dyDescent="0.25">
      <c r="B881" s="5" t="str">
        <f t="shared" si="554"/>
        <v>SPS2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60.950008894441517</v>
      </c>
      <c r="G881" s="1">
        <f>[1]Services!C$11</f>
        <v>60.129618322945426</v>
      </c>
      <c r="H881" s="1">
        <f>[1]Services!D$11</f>
        <v>57.407795996813171</v>
      </c>
      <c r="I881" s="1">
        <f>[1]Services!E$11</f>
        <v>55.212030209167871</v>
      </c>
      <c r="J881" s="1">
        <f>[1]Services!F$11</f>
        <v>53.471724395945145</v>
      </c>
      <c r="K881" s="1">
        <f>[1]Services!G$11</f>
        <v>50.001047863474831</v>
      </c>
    </row>
    <row r="882" spans="2:12" x14ac:dyDescent="0.25">
      <c r="B882" s="5" t="str">
        <f t="shared" si="554"/>
        <v>SPS2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2.6236046760255505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2.5219628141978866E-3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1.0541885265667374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0.61555338251910996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0.43169300500371871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0.29898916101314199</v>
      </c>
    </row>
    <row r="883" spans="2:12" x14ac:dyDescent="0.25">
      <c r="B883" s="5" t="str">
        <f t="shared" si="554"/>
        <v>SPS2</v>
      </c>
      <c r="C883" s="5" t="str">
        <f t="shared" ref="C883:C922" si="583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1.3316296435035277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1.4252012166745007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1.529715337309657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2.3212478658110465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4.1547131195709408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4.5830183007719754</v>
      </c>
    </row>
    <row r="884" spans="2:12" x14ac:dyDescent="0.25">
      <c r="B884" s="5" t="str">
        <f t="shared" ref="B884:B947" si="584">B883</f>
        <v>SPS2</v>
      </c>
      <c r="C884" s="5" t="str">
        <f t="shared" si="583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58.701895143456724</v>
      </c>
      <c r="H884" s="1">
        <f>[1]Services!D$11-[1]Services!D$28</f>
        <v>54.823892132936777</v>
      </c>
      <c r="I884" s="1">
        <f>[1]Services!E$11-[1]Services!E$28</f>
        <v>52.275228960837715</v>
      </c>
      <c r="J884" s="1">
        <f>[1]Services!F$11-[1]Services!F$28</f>
        <v>48.885318271370487</v>
      </c>
      <c r="K884" s="1">
        <f>[1]Services!G$11-[1]Services!G$28</f>
        <v>45.119040401689716</v>
      </c>
    </row>
    <row r="885" spans="2:12" x14ac:dyDescent="0.25">
      <c r="B885" s="5" t="str">
        <f t="shared" si="584"/>
        <v>SPS2</v>
      </c>
      <c r="C885" s="5" t="str">
        <f t="shared" si="583"/>
        <v>CH</v>
      </c>
      <c r="D885" t="s">
        <v>499</v>
      </c>
      <c r="E885" t="s">
        <v>8</v>
      </c>
      <c r="F885" s="1">
        <f>F886</f>
        <v>30.256635661183736</v>
      </c>
      <c r="G885" s="1">
        <f t="shared" ref="G885:K885" si="585">G886</f>
        <v>27.09401361005397</v>
      </c>
      <c r="H885" s="1">
        <f t="shared" si="585"/>
        <v>25.107050513679713</v>
      </c>
      <c r="I885" s="1">
        <f t="shared" si="585"/>
        <v>15.177759207098664</v>
      </c>
      <c r="J885" s="1">
        <f t="shared" si="585"/>
        <v>5.20368454053476</v>
      </c>
      <c r="K885" s="1">
        <f t="shared" si="585"/>
        <v>0.23451223253958195</v>
      </c>
      <c r="L885" s="1"/>
    </row>
    <row r="886" spans="2:12" x14ac:dyDescent="0.25">
      <c r="B886" s="5" t="str">
        <f t="shared" si="584"/>
        <v>SPS2</v>
      </c>
      <c r="C886" s="5" t="str">
        <f t="shared" si="583"/>
        <v>CH</v>
      </c>
      <c r="D886" t="s">
        <v>500</v>
      </c>
      <c r="E886" t="s">
        <v>8</v>
      </c>
      <c r="F886" s="1">
        <f>SUM(F889,F891)</f>
        <v>30.256635661183736</v>
      </c>
      <c r="G886" s="1">
        <f t="shared" ref="G886:K886" si="586">SUM(G889,G891)</f>
        <v>27.09401361005397</v>
      </c>
      <c r="H886" s="1">
        <f t="shared" si="586"/>
        <v>25.107050513679713</v>
      </c>
      <c r="I886" s="1">
        <f t="shared" si="586"/>
        <v>15.177759207098664</v>
      </c>
      <c r="J886" s="1">
        <f t="shared" si="586"/>
        <v>5.20368454053476</v>
      </c>
      <c r="K886" s="1">
        <f t="shared" si="586"/>
        <v>0.23451223253958195</v>
      </c>
    </row>
    <row r="887" spans="2:12" x14ac:dyDescent="0.25">
      <c r="B887" s="5" t="str">
        <f t="shared" si="584"/>
        <v>SPS2</v>
      </c>
      <c r="C887" s="5" t="str">
        <f>C886</f>
        <v>CH</v>
      </c>
      <c r="D887" t="s">
        <v>964</v>
      </c>
      <c r="E887" t="s">
        <v>8</v>
      </c>
      <c r="F887" s="1">
        <f>F888</f>
        <v>30.256635661183736</v>
      </c>
      <c r="G887" s="1">
        <f t="shared" ref="G887:K887" si="587">G888</f>
        <v>27.09401361005397</v>
      </c>
      <c r="H887" s="1">
        <f t="shared" si="587"/>
        <v>25.106825234365516</v>
      </c>
      <c r="I887" s="1">
        <f t="shared" si="587"/>
        <v>15.177256016888562</v>
      </c>
      <c r="J887" s="1">
        <f t="shared" si="587"/>
        <v>5.2032089931731997</v>
      </c>
      <c r="K887" s="1">
        <f t="shared" si="587"/>
        <v>0</v>
      </c>
    </row>
    <row r="888" spans="2:12" x14ac:dyDescent="0.25">
      <c r="B888" s="5" t="str">
        <f t="shared" si="584"/>
        <v>SPS2</v>
      </c>
      <c r="C888" s="5" t="str">
        <f t="shared" si="583"/>
        <v>CH</v>
      </c>
      <c r="D888" t="s">
        <v>528</v>
      </c>
      <c r="E888" t="s">
        <v>8</v>
      </c>
      <c r="F888" s="1">
        <f>[1]Services!B$12</f>
        <v>30.256635661183736</v>
      </c>
      <c r="G888" s="1">
        <f>[1]Services!C$12</f>
        <v>27.09401361005397</v>
      </c>
      <c r="H888" s="1">
        <f>[1]Services!D$12</f>
        <v>25.106825234365516</v>
      </c>
      <c r="I888" s="1">
        <f>[1]Services!E$12</f>
        <v>15.177256016888562</v>
      </c>
      <c r="J888" s="1">
        <f>[1]Services!F$12</f>
        <v>5.2032089931731997</v>
      </c>
      <c r="K888" s="1">
        <f>[1]Services!G$12</f>
        <v>0</v>
      </c>
    </row>
    <row r="889" spans="2:12" x14ac:dyDescent="0.25">
      <c r="B889" s="5" t="str">
        <f t="shared" si="584"/>
        <v>SPS2</v>
      </c>
      <c r="C889" s="5" t="str">
        <f t="shared" si="583"/>
        <v>CH</v>
      </c>
      <c r="D889" t="s">
        <v>529</v>
      </c>
      <c r="E889" t="s">
        <v>8</v>
      </c>
      <c r="F889" s="1">
        <f>F888</f>
        <v>30.256635661183736</v>
      </c>
      <c r="G889" s="1">
        <f t="shared" ref="G889:K889" si="588">G888</f>
        <v>27.09401361005397</v>
      </c>
      <c r="H889" s="1">
        <f t="shared" si="588"/>
        <v>25.106825234365516</v>
      </c>
      <c r="I889" s="1">
        <f t="shared" si="588"/>
        <v>15.177256016888562</v>
      </c>
      <c r="J889" s="1">
        <f t="shared" si="588"/>
        <v>5.2032089931731997</v>
      </c>
      <c r="K889" s="1">
        <f t="shared" si="588"/>
        <v>0</v>
      </c>
    </row>
    <row r="890" spans="2:12" x14ac:dyDescent="0.25">
      <c r="B890" s="5" t="str">
        <f t="shared" si="584"/>
        <v>SPS2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589">G891</f>
        <v>0</v>
      </c>
      <c r="H890">
        <f t="shared" si="589"/>
        <v>2.2527931419774112E-4</v>
      </c>
      <c r="I890">
        <f t="shared" si="589"/>
        <v>5.0319021010129068E-4</v>
      </c>
      <c r="J890">
        <f t="shared" si="589"/>
        <v>4.7554736155998843E-4</v>
      </c>
      <c r="K890">
        <f t="shared" si="589"/>
        <v>0.23451223253958195</v>
      </c>
    </row>
    <row r="891" spans="2:12" x14ac:dyDescent="0.25">
      <c r="B891" s="5" t="str">
        <f t="shared" si="584"/>
        <v>SPS2</v>
      </c>
      <c r="C891" s="5" t="str">
        <f t="shared" si="583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2.2527931419774112E-4</v>
      </c>
      <c r="I891">
        <f>[1]Services!E$13</f>
        <v>5.0319021010129068E-4</v>
      </c>
      <c r="J891">
        <f>[1]Services!F$13</f>
        <v>4.7554736155998843E-4</v>
      </c>
      <c r="K891">
        <f>[1]Services!G$13</f>
        <v>0.23451223253958195</v>
      </c>
    </row>
    <row r="892" spans="2:12" x14ac:dyDescent="0.25">
      <c r="B892" s="5" t="str">
        <f t="shared" si="584"/>
        <v>SPS2</v>
      </c>
      <c r="C892" s="5" t="str">
        <f t="shared" si="583"/>
        <v>CH</v>
      </c>
      <c r="D892" t="s">
        <v>501</v>
      </c>
      <c r="E892" t="s">
        <v>8</v>
      </c>
      <c r="F892" s="1">
        <f>SUM(F893:F895)</f>
        <v>26.950967132705156</v>
      </c>
      <c r="G892" s="1">
        <f t="shared" ref="G892:K892" si="590">SUM(G893:G895)</f>
        <v>28.287005950693587</v>
      </c>
      <c r="H892" s="1">
        <f t="shared" si="590"/>
        <v>24.931035732527501</v>
      </c>
      <c r="I892" s="1">
        <f t="shared" si="590"/>
        <v>22.361462621465911</v>
      </c>
      <c r="J892" s="1">
        <f t="shared" si="590"/>
        <v>15.57516033589253</v>
      </c>
      <c r="K892" s="1">
        <f t="shared" si="590"/>
        <v>11.012171977046545</v>
      </c>
    </row>
    <row r="893" spans="2:12" x14ac:dyDescent="0.25">
      <c r="B893" s="5" t="str">
        <f t="shared" si="584"/>
        <v>SPS2</v>
      </c>
      <c r="C893" s="5" t="str">
        <f t="shared" si="583"/>
        <v>CH</v>
      </c>
      <c r="D893" t="s">
        <v>681</v>
      </c>
      <c r="E893" t="s">
        <v>8</v>
      </c>
      <c r="F893" s="1">
        <f>SUM([1]Services!B$14:B$15)-F894</f>
        <v>25.548688817631799</v>
      </c>
      <c r="G893" s="1">
        <f>SUM([1]Services!C$14:C$15)</f>
        <v>26.749781641720233</v>
      </c>
      <c r="H893" s="1">
        <f>SUM([1]Services!D$14:D$15)</f>
        <v>23.855599798820187</v>
      </c>
      <c r="I893" s="1">
        <f>SUM([1]Services!E$14:E$15)</f>
        <v>19.40868085404249</v>
      </c>
      <c r="J893" s="1">
        <f>SUM([1]Services!F$14:F$15)</f>
        <v>10.798065679706351</v>
      </c>
      <c r="K893" s="1">
        <f>SUM([1]Services!G$14:G$15)</f>
        <v>6.4681379630026221</v>
      </c>
    </row>
    <row r="894" spans="2:12" x14ac:dyDescent="0.25">
      <c r="B894" s="5" t="str">
        <f t="shared" si="584"/>
        <v>SPS2</v>
      </c>
      <c r="C894" s="5" t="str">
        <f t="shared" ref="C894" si="591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1.0754359337073147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2.9527817674234202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4.7770946561861791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4.5440340140439233</v>
      </c>
    </row>
    <row r="895" spans="2:12" x14ac:dyDescent="0.25">
      <c r="B895" s="5" t="str">
        <f t="shared" si="584"/>
        <v>SPS2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1.4022783150733571</v>
      </c>
      <c r="G895" s="1">
        <f>[1]Services!C$16</f>
        <v>1.5372243089733524</v>
      </c>
      <c r="H895" s="1">
        <f>[1]Services!D$16</f>
        <v>0</v>
      </c>
      <c r="I895" s="1">
        <f>[1]Services!E$16</f>
        <v>0</v>
      </c>
      <c r="J895" s="1">
        <f>[1]Services!F$16</f>
        <v>0</v>
      </c>
      <c r="K895" s="1">
        <f>[1]Services!G$16</f>
        <v>0</v>
      </c>
    </row>
    <row r="896" spans="2:12" x14ac:dyDescent="0.25">
      <c r="B896" s="5" t="str">
        <f t="shared" si="584"/>
        <v>SPS2</v>
      </c>
      <c r="C896" s="5" t="str">
        <f t="shared" si="583"/>
        <v>CH</v>
      </c>
      <c r="D896" t="s">
        <v>967</v>
      </c>
      <c r="E896" t="s">
        <v>8</v>
      </c>
      <c r="F896" s="1">
        <f>[1]Services!B$14</f>
        <v>25.262645496231876</v>
      </c>
      <c r="G896" s="1">
        <f>[1]Services!C$14</f>
        <v>25.35908680657657</v>
      </c>
      <c r="H896" s="1">
        <f>[1]Services!D$14</f>
        <v>22.701822303928495</v>
      </c>
      <c r="I896" s="1">
        <f>[1]Services!E$14</f>
        <v>17.124560497953123</v>
      </c>
      <c r="J896" s="1">
        <f>[1]Services!F$14</f>
        <v>9.7244060808822397</v>
      </c>
      <c r="K896" s="1">
        <f>[1]Services!G$14</f>
        <v>3.5515870294402703</v>
      </c>
    </row>
    <row r="897" spans="2:11" x14ac:dyDescent="0.25">
      <c r="B897" s="5" t="str">
        <f t="shared" si="584"/>
        <v>SPS2</v>
      </c>
      <c r="C897" s="5" t="str">
        <f t="shared" si="583"/>
        <v>CH</v>
      </c>
      <c r="D897" t="s">
        <v>682</v>
      </c>
      <c r="E897" t="s">
        <v>8</v>
      </c>
      <c r="F897" s="1">
        <f>[1]Services!B$14*IFERROR(F893/SUM(F893:F894),0)</f>
        <v>25.262645496231876</v>
      </c>
      <c r="G897" s="1">
        <f>[1]Services!C$14*IFERROR(G893/SUM(G893:G894),0)</f>
        <v>25.35908680657657</v>
      </c>
      <c r="H897" s="1">
        <f>[1]Services!D$14*IFERROR(H893/SUM(H893:H894),0)</f>
        <v>21.722546684246577</v>
      </c>
      <c r="I897" s="1">
        <f>[1]Services!E$14*IFERROR(I893/SUM(I893:I894),0)</f>
        <v>14.86330009341432</v>
      </c>
      <c r="J897" s="1">
        <f>[1]Services!F$14*IFERROR(J893/SUM(J893:J894),0)</f>
        <v>6.7418102474053914</v>
      </c>
      <c r="K897" s="1">
        <f>[1]Services!G$14*IFERROR(K893/SUM(K893:K894),0)</f>
        <v>2.0860693913891666</v>
      </c>
    </row>
    <row r="898" spans="2:11" x14ac:dyDescent="0.25">
      <c r="B898" s="5" t="str">
        <f t="shared" si="584"/>
        <v>SPS2</v>
      </c>
      <c r="C898" s="5" t="str">
        <f t="shared" ref="C898" si="592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593">G896-G897</f>
        <v>0</v>
      </c>
      <c r="H898" s="1">
        <f t="shared" si="593"/>
        <v>0.97927561968191768</v>
      </c>
      <c r="I898" s="1">
        <f t="shared" si="593"/>
        <v>2.2612604045388025</v>
      </c>
      <c r="J898" s="1">
        <f t="shared" si="593"/>
        <v>2.9825958334768483</v>
      </c>
      <c r="K898" s="1">
        <f t="shared" si="593"/>
        <v>1.4655176380511037</v>
      </c>
    </row>
    <row r="899" spans="2:11" x14ac:dyDescent="0.25">
      <c r="B899" s="5" t="str">
        <f t="shared" si="584"/>
        <v>SPS2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1.68832163647328</v>
      </c>
      <c r="G899" s="1">
        <f>[1]Services!C$15+G902</f>
        <v>2.9279191441170163</v>
      </c>
      <c r="H899" s="1">
        <f>[1]Services!D$15+H902</f>
        <v>1.1537774948916923</v>
      </c>
      <c r="I899" s="1">
        <f>[1]Services!E$15+I902</f>
        <v>2.2841203560893688</v>
      </c>
      <c r="J899" s="1">
        <f>[1]Services!F$15+J902</f>
        <v>1.0736595988241111</v>
      </c>
      <c r="K899" s="1">
        <f>[1]Services!G$15+K902</f>
        <v>2.9165509335623514</v>
      </c>
    </row>
    <row r="900" spans="2:11" x14ac:dyDescent="0.25">
      <c r="B900" s="5" t="str">
        <f t="shared" si="584"/>
        <v>SPS2</v>
      </c>
      <c r="C900" s="5" t="str">
        <f t="shared" si="583"/>
        <v>CH</v>
      </c>
      <c r="D900" t="s">
        <v>683</v>
      </c>
      <c r="E900" t="s">
        <v>8</v>
      </c>
      <c r="F900" s="1">
        <f>[1]Services!B$15*F893/SUM(F893:F894)</f>
        <v>0.28604332139992306</v>
      </c>
      <c r="G900" s="1">
        <f>[1]Services!C$15*G893/SUM(G893:G894)</f>
        <v>1.3906948351436641</v>
      </c>
      <c r="H900" s="1">
        <f>[1]Services!D$15*H893/SUM(H893:H894)</f>
        <v>1.1040076501559422</v>
      </c>
      <c r="I900" s="1">
        <f>[1]Services!E$15*I893/SUM(I893:I894)</f>
        <v>1.9825073061636014</v>
      </c>
      <c r="J900" s="1">
        <f>[1]Services!F$15*J893/SUM(J893:J894)</f>
        <v>0.74435489688238665</v>
      </c>
      <c r="K900" s="1">
        <f>[1]Services!G$15*K893/SUM(K893:K894)</f>
        <v>1.7130729390828916</v>
      </c>
    </row>
    <row r="901" spans="2:11" x14ac:dyDescent="0.25">
      <c r="B901" s="5" t="str">
        <f t="shared" si="584"/>
        <v>SPS2</v>
      </c>
      <c r="C901" s="5" t="str">
        <f t="shared" ref="C901" si="594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4.9769844735750191E-2</v>
      </c>
      <c r="I901" s="1">
        <f>[1]Services!E$15*I894/SUM(I893:I894)</f>
        <v>0.30161304992576737</v>
      </c>
      <c r="J901" s="1">
        <f>[1]Services!F$15*J894/SUM(J893:J894)</f>
        <v>0.32930470194172445</v>
      </c>
      <c r="K901" s="1">
        <f>[1]Services!G$15*K894/SUM(K893:K894)</f>
        <v>1.2034779944794598</v>
      </c>
    </row>
    <row r="902" spans="2:11" x14ac:dyDescent="0.25">
      <c r="B902" s="5" t="str">
        <f t="shared" si="584"/>
        <v>SPS2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1.4022783150733571</v>
      </c>
      <c r="G902" s="1">
        <f>[1]Services!C$16</f>
        <v>1.5372243089733524</v>
      </c>
      <c r="H902" s="1">
        <f>[1]Services!D$16</f>
        <v>0</v>
      </c>
      <c r="I902" s="1">
        <f>[1]Services!E$16</f>
        <v>0</v>
      </c>
      <c r="J902" s="1">
        <f>[1]Services!F$16</f>
        <v>0</v>
      </c>
      <c r="K902" s="1">
        <f>[1]Services!G$16</f>
        <v>0</v>
      </c>
    </row>
    <row r="903" spans="2:11" x14ac:dyDescent="0.25">
      <c r="B903" s="5" t="str">
        <f t="shared" si="584"/>
        <v>SPS2</v>
      </c>
      <c r="C903" s="5" t="str">
        <f>C902</f>
        <v>CH</v>
      </c>
      <c r="D903" t="s">
        <v>969</v>
      </c>
      <c r="E903" t="s">
        <v>8</v>
      </c>
      <c r="F903" s="1">
        <f>[1]Services!B$17</f>
        <v>7.7268893434500798</v>
      </c>
      <c r="G903" s="1">
        <f>[1]Services!C$17</f>
        <v>8.3696963150008603</v>
      </c>
      <c r="H903" s="1">
        <f>[1]Services!D$17</f>
        <v>5.8897464898140068</v>
      </c>
      <c r="I903" s="1">
        <f>[1]Services!E$17</f>
        <v>7.5206424466177531</v>
      </c>
      <c r="J903" s="1">
        <f>[1]Services!F$17</f>
        <v>8.8088336919783856</v>
      </c>
      <c r="K903" s="1">
        <f>[1]Services!G$17</f>
        <v>8.5380403147564774</v>
      </c>
    </row>
    <row r="904" spans="2:11" x14ac:dyDescent="0.25">
      <c r="B904" s="5" t="str">
        <f t="shared" si="584"/>
        <v>SPS2</v>
      </c>
      <c r="C904" s="5" t="str">
        <f t="shared" si="583"/>
        <v>CH</v>
      </c>
      <c r="D904" t="s">
        <v>970</v>
      </c>
      <c r="E904" t="s">
        <v>8</v>
      </c>
      <c r="F904" s="1">
        <f>[1]Services!B$51/0.99</f>
        <v>2.1168864871771551</v>
      </c>
      <c r="G904" s="1">
        <f>[1]Services!C$51/0.99</f>
        <v>2.292992044732189</v>
      </c>
      <c r="H904" s="1">
        <f>[1]Services!D$51/0.99</f>
        <v>0</v>
      </c>
      <c r="I904" s="1">
        <f>[1]Services!E$51/0.99</f>
        <v>0</v>
      </c>
      <c r="J904" s="1">
        <f>[1]Services!F$51/0.99</f>
        <v>0</v>
      </c>
      <c r="K904" s="1">
        <f>[1]Services!G$51/0.99</f>
        <v>0</v>
      </c>
    </row>
    <row r="905" spans="2:11" x14ac:dyDescent="0.25">
      <c r="B905" s="5" t="str">
        <f t="shared" si="584"/>
        <v>SPS2</v>
      </c>
      <c r="C905" s="5" t="str">
        <f t="shared" si="583"/>
        <v>CH</v>
      </c>
      <c r="D905" t="s">
        <v>507</v>
      </c>
      <c r="E905" t="s">
        <v>8</v>
      </c>
      <c r="F905" s="1">
        <f>F904-SUM(F906:F909)</f>
        <v>1.4243063725248826</v>
      </c>
      <c r="G905" s="1">
        <f t="shared" ref="G905:K905" si="595">G904-SUM(G906:G909)</f>
        <v>1.5427312087068417</v>
      </c>
      <c r="H905" s="1">
        <f t="shared" si="595"/>
        <v>-3.996589571128739E-3</v>
      </c>
      <c r="I905" s="1">
        <f t="shared" si="595"/>
        <v>-3.2231377308810797E-3</v>
      </c>
      <c r="J905" s="1">
        <f t="shared" si="595"/>
        <v>-5.046794379394811E-3</v>
      </c>
      <c r="K905" s="1">
        <f t="shared" si="595"/>
        <v>-1.2898966229126982E-3</v>
      </c>
    </row>
    <row r="906" spans="2:11" x14ac:dyDescent="0.25">
      <c r="B906" s="5" t="str">
        <f t="shared" si="584"/>
        <v>SPS2</v>
      </c>
      <c r="C906" s="5" t="str">
        <f t="shared" si="583"/>
        <v>CH</v>
      </c>
      <c r="D906" t="s">
        <v>503</v>
      </c>
      <c r="E906" t="s">
        <v>8</v>
      </c>
      <c r="F906" s="1">
        <f t="shared" ref="F906:K907" si="596">F247</f>
        <v>0.69258011465227254</v>
      </c>
      <c r="G906" s="1">
        <f t="shared" si="596"/>
        <v>0.75026083602534732</v>
      </c>
      <c r="H906" s="1">
        <f t="shared" si="596"/>
        <v>3.996589571128739E-3</v>
      </c>
      <c r="I906" s="1">
        <f t="shared" si="596"/>
        <v>9.210448875863449E-4</v>
      </c>
      <c r="J906" s="1">
        <f t="shared" si="596"/>
        <v>1.8751047015189153E-3</v>
      </c>
      <c r="K906" s="1">
        <f t="shared" si="596"/>
        <v>2.7896658828981477E-4</v>
      </c>
    </row>
    <row r="907" spans="2:11" x14ac:dyDescent="0.25">
      <c r="B907" s="5" t="str">
        <f t="shared" si="584"/>
        <v>SPS2</v>
      </c>
      <c r="C907" s="5" t="str">
        <f t="shared" si="583"/>
        <v>CH</v>
      </c>
      <c r="D907" t="s">
        <v>504</v>
      </c>
      <c r="E907" t="s">
        <v>8</v>
      </c>
      <c r="F907" s="1">
        <f t="shared" si="596"/>
        <v>0</v>
      </c>
      <c r="G907" s="1">
        <f t="shared" si="596"/>
        <v>0</v>
      </c>
      <c r="H907" s="1">
        <f t="shared" si="596"/>
        <v>0</v>
      </c>
      <c r="I907" s="1">
        <f t="shared" si="596"/>
        <v>7.2923429936237443E-5</v>
      </c>
      <c r="J907" s="1">
        <f t="shared" si="596"/>
        <v>5.986541650504E-4</v>
      </c>
      <c r="K907" s="1">
        <f t="shared" si="596"/>
        <v>1.0698596698952694E-4</v>
      </c>
    </row>
    <row r="908" spans="2:11" x14ac:dyDescent="0.25">
      <c r="B908" s="5" t="str">
        <f t="shared" si="584"/>
        <v>SPS2</v>
      </c>
      <c r="C908" s="5" t="str">
        <f t="shared" si="583"/>
        <v>CH</v>
      </c>
      <c r="D908" t="s">
        <v>505</v>
      </c>
      <c r="E908" t="s">
        <v>8</v>
      </c>
      <c r="F908" s="1">
        <f t="shared" ref="F908:K908" si="597">F285</f>
        <v>0</v>
      </c>
      <c r="G908" s="1">
        <f t="shared" si="597"/>
        <v>0</v>
      </c>
      <c r="H908" s="1">
        <f t="shared" si="597"/>
        <v>0</v>
      </c>
      <c r="I908" s="1">
        <f t="shared" si="597"/>
        <v>1.2958375232812503E-3</v>
      </c>
      <c r="J908" s="1">
        <f t="shared" si="597"/>
        <v>1.7428293830367364E-3</v>
      </c>
      <c r="K908" s="1">
        <f t="shared" si="597"/>
        <v>4.2701173164324288E-4</v>
      </c>
    </row>
    <row r="909" spans="2:11" x14ac:dyDescent="0.25">
      <c r="B909" s="5" t="str">
        <f t="shared" si="584"/>
        <v>SPS2</v>
      </c>
      <c r="C909" s="5" t="str">
        <f t="shared" si="583"/>
        <v>CH</v>
      </c>
      <c r="D909" t="s">
        <v>506</v>
      </c>
      <c r="E909" t="s">
        <v>8</v>
      </c>
      <c r="F909" s="1">
        <f t="shared" ref="F909:K909" si="598">F288</f>
        <v>0</v>
      </c>
      <c r="G909" s="1">
        <f t="shared" si="598"/>
        <v>0</v>
      </c>
      <c r="H909" s="1">
        <f t="shared" si="598"/>
        <v>0</v>
      </c>
      <c r="I909" s="1">
        <f t="shared" si="598"/>
        <v>9.3333189007724718E-4</v>
      </c>
      <c r="J909" s="1">
        <f t="shared" si="598"/>
        <v>8.3020612978875993E-4</v>
      </c>
      <c r="K909" s="1">
        <f t="shared" si="598"/>
        <v>4.7693233599011361E-4</v>
      </c>
    </row>
    <row r="910" spans="2:11" x14ac:dyDescent="0.25">
      <c r="B910" s="5" t="str">
        <f t="shared" si="584"/>
        <v>SPS2</v>
      </c>
      <c r="C910" s="5" t="str">
        <f t="shared" si="583"/>
        <v>CH</v>
      </c>
      <c r="D910" t="s">
        <v>971</v>
      </c>
      <c r="E910" t="s">
        <v>8</v>
      </c>
      <c r="F910" s="1">
        <f>F903-F904</f>
        <v>5.6100028562729243</v>
      </c>
      <c r="G910" s="1">
        <f t="shared" ref="G910:K910" si="599">G903-G904</f>
        <v>6.0767042702686709</v>
      </c>
      <c r="H910" s="1">
        <f t="shared" si="599"/>
        <v>5.8897464898140068</v>
      </c>
      <c r="I910" s="1">
        <f t="shared" si="599"/>
        <v>7.5206424466177531</v>
      </c>
      <c r="J910" s="1">
        <f t="shared" si="599"/>
        <v>8.8088336919783856</v>
      </c>
      <c r="K910" s="1">
        <f t="shared" si="599"/>
        <v>8.5380403147564774</v>
      </c>
    </row>
    <row r="911" spans="2:11" x14ac:dyDescent="0.25">
      <c r="B911" s="5" t="str">
        <f t="shared" si="584"/>
        <v>SPS2</v>
      </c>
      <c r="C911" s="5" t="str">
        <f t="shared" si="583"/>
        <v>CH</v>
      </c>
      <c r="D911" t="s">
        <v>972</v>
      </c>
      <c r="E911" t="s">
        <v>8</v>
      </c>
      <c r="F911" s="1">
        <f>F912</f>
        <v>8.5743691264718152</v>
      </c>
      <c r="G911" s="1">
        <f t="shared" ref="G911:K911" si="600">G912</f>
        <v>6.5909371527800351</v>
      </c>
      <c r="H911" s="1">
        <f t="shared" si="600"/>
        <v>10.798952770920419</v>
      </c>
      <c r="I911" s="1">
        <f t="shared" si="600"/>
        <v>11.325644839462376</v>
      </c>
      <c r="J911" s="1">
        <f t="shared" si="600"/>
        <v>9.4740611809219661</v>
      </c>
      <c r="K911" s="1">
        <f t="shared" si="600"/>
        <v>7.0144728816087696</v>
      </c>
    </row>
    <row r="912" spans="2:11" x14ac:dyDescent="0.25">
      <c r="B912" s="5" t="str">
        <f t="shared" si="584"/>
        <v>SPS2</v>
      </c>
      <c r="C912" s="5" t="str">
        <f t="shared" si="583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8.5743691264718152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6.5909371527800351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10.798952770920419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11.325644839462376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9.4740611809219661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7.0144728816087696</v>
      </c>
    </row>
    <row r="913" spans="2:12" x14ac:dyDescent="0.25">
      <c r="B913" s="5" t="str">
        <f t="shared" si="584"/>
        <v>SPS2</v>
      </c>
      <c r="C913" s="5" t="str">
        <f t="shared" si="583"/>
        <v>CH</v>
      </c>
      <c r="D913" t="s">
        <v>974</v>
      </c>
      <c r="E913" t="s">
        <v>8</v>
      </c>
      <c r="F913" s="1">
        <f>F914</f>
        <v>2.0856353375040459</v>
      </c>
      <c r="G913" s="1">
        <f t="shared" ref="G913:K913" si="601">G914</f>
        <v>2.4000917538240611</v>
      </c>
      <c r="H913" s="1">
        <f t="shared" si="601"/>
        <v>0.61690733980762757</v>
      </c>
      <c r="I913" s="1">
        <f t="shared" si="601"/>
        <v>1.1279259295440145</v>
      </c>
      <c r="J913" s="1">
        <f t="shared" si="601"/>
        <v>1.794546048410405</v>
      </c>
      <c r="K913" s="1">
        <f t="shared" si="601"/>
        <v>1.8313019711807192</v>
      </c>
    </row>
    <row r="914" spans="2:12" x14ac:dyDescent="0.25">
      <c r="B914" s="5" t="str">
        <f t="shared" si="584"/>
        <v>SPS2</v>
      </c>
      <c r="C914" s="5" t="str">
        <f t="shared" si="583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2.0856353375040459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2.4000917538240611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0.61690733980762757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1.1279259295440145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1.794546048410405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1.8313019711807192</v>
      </c>
    </row>
    <row r="915" spans="2:12" x14ac:dyDescent="0.25">
      <c r="B915" s="5" t="str">
        <f t="shared" si="584"/>
        <v>SPS2</v>
      </c>
      <c r="C915" s="5" t="str">
        <f t="shared" si="583"/>
        <v>CH</v>
      </c>
      <c r="D915" t="s">
        <v>976</v>
      </c>
      <c r="E915" t="s">
        <v>8</v>
      </c>
      <c r="F915" s="1">
        <f>F916</f>
        <v>0.62699543143269842</v>
      </c>
      <c r="G915" s="1">
        <f t="shared" ref="G915:K915" si="602">G916</f>
        <v>0.68733497560772716</v>
      </c>
      <c r="H915" s="1">
        <f t="shared" si="602"/>
        <v>0.5235588634146302</v>
      </c>
      <c r="I915" s="1">
        <f t="shared" si="602"/>
        <v>0.61153554282192013</v>
      </c>
      <c r="J915" s="1">
        <f t="shared" si="602"/>
        <v>0.73497390536342855</v>
      </c>
      <c r="K915" s="1">
        <f t="shared" si="602"/>
        <v>0.77999180878400287</v>
      </c>
    </row>
    <row r="916" spans="2:12" x14ac:dyDescent="0.25">
      <c r="B916" s="5" t="str">
        <f t="shared" si="584"/>
        <v>SPS2</v>
      </c>
      <c r="C916" s="5" t="str">
        <f t="shared" si="583"/>
        <v>CH</v>
      </c>
      <c r="D916" t="s">
        <v>977</v>
      </c>
      <c r="E916" t="s">
        <v>8</v>
      </c>
      <c r="F916" s="1">
        <f>[1]Services!B$19</f>
        <v>0.62699543143269842</v>
      </c>
      <c r="G916" s="1">
        <f>[1]Services!C$19</f>
        <v>0.68733497560772716</v>
      </c>
      <c r="H916" s="1">
        <f>[1]Services!D$19</f>
        <v>0.5235588634146302</v>
      </c>
      <c r="I916" s="1">
        <f>[1]Services!E$19</f>
        <v>0.61153554282192013</v>
      </c>
      <c r="J916" s="1">
        <f>[1]Services!F$19</f>
        <v>0.73497390536342855</v>
      </c>
      <c r="K916" s="1">
        <f>[1]Services!G$19</f>
        <v>0.77999180878400287</v>
      </c>
    </row>
    <row r="917" spans="2:12" x14ac:dyDescent="0.25">
      <c r="B917" s="5" t="str">
        <f t="shared" si="584"/>
        <v>SPS2</v>
      </c>
      <c r="C917" s="5" t="str">
        <f t="shared" si="583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8.0499957631101765E-3</v>
      </c>
      <c r="I917" s="1">
        <f>[1]Services!E$20</f>
        <v>0.58080894546255379</v>
      </c>
      <c r="J917" s="1">
        <f>[1]Services!F$20</f>
        <v>3.0735493826476994E-2</v>
      </c>
      <c r="K917" s="1">
        <f>[1]Services!G$20</f>
        <v>0.18141289992880646</v>
      </c>
    </row>
    <row r="918" spans="2:12" x14ac:dyDescent="0.25">
      <c r="B918" s="5" t="str">
        <f t="shared" si="584"/>
        <v>SPS2</v>
      </c>
      <c r="C918" s="5" t="str">
        <f t="shared" si="583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03">G917-G919</f>
        <v>0</v>
      </c>
      <c r="H918" s="1">
        <f t="shared" si="603"/>
        <v>0</v>
      </c>
      <c r="I918" s="1">
        <f t="shared" si="603"/>
        <v>0</v>
      </c>
      <c r="J918" s="1">
        <f t="shared" si="603"/>
        <v>0</v>
      </c>
      <c r="K918" s="1">
        <f t="shared" si="603"/>
        <v>0</v>
      </c>
    </row>
    <row r="919" spans="2:12" x14ac:dyDescent="0.25">
      <c r="B919" s="5" t="str">
        <f t="shared" si="584"/>
        <v>SPS2</v>
      </c>
      <c r="C919" s="5" t="str">
        <f t="shared" si="583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04">G920</f>
        <v>0</v>
      </c>
      <c r="H919" s="1">
        <f t="shared" si="604"/>
        <v>8.0499957631101765E-3</v>
      </c>
      <c r="I919" s="1">
        <f t="shared" si="604"/>
        <v>0.58080894546255379</v>
      </c>
      <c r="J919" s="1">
        <f t="shared" si="604"/>
        <v>3.0735493826476994E-2</v>
      </c>
      <c r="K919" s="1">
        <f t="shared" si="604"/>
        <v>0.18141289992880646</v>
      </c>
    </row>
    <row r="920" spans="2:12" x14ac:dyDescent="0.25">
      <c r="B920" s="5" t="str">
        <f t="shared" si="584"/>
        <v>SPS2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8.0499957631101765E-3</v>
      </c>
      <c r="I920" s="1">
        <f>[1]Services!E$20</f>
        <v>0.58080894546255379</v>
      </c>
      <c r="J920" s="1">
        <f>[1]Services!F$20</f>
        <v>3.0735493826476994E-2</v>
      </c>
      <c r="K920" s="1">
        <f>[1]Services!G$20</f>
        <v>0.18141289992880646</v>
      </c>
    </row>
    <row r="921" spans="2:12" x14ac:dyDescent="0.25">
      <c r="B921" s="5" t="str">
        <f t="shared" si="584"/>
        <v>SPS2</v>
      </c>
      <c r="C921" s="5" t="str">
        <f t="shared" si="583"/>
        <v>CH</v>
      </c>
      <c r="D921" t="s">
        <v>980</v>
      </c>
      <c r="E921" t="s">
        <v>8</v>
      </c>
      <c r="F921" s="1">
        <f>F922</f>
        <v>2.9295852157077618</v>
      </c>
      <c r="G921" s="1">
        <f t="shared" ref="G921:K921" si="605">G922</f>
        <v>3.1924507253508825</v>
      </c>
      <c r="H921" s="1">
        <f t="shared" si="605"/>
        <v>2.8451132894324331</v>
      </c>
      <c r="I921" s="1">
        <f t="shared" si="605"/>
        <v>5.0278614046708281</v>
      </c>
      <c r="J921" s="1">
        <f t="shared" si="605"/>
        <v>10.813724302153419</v>
      </c>
      <c r="K921" s="1">
        <f t="shared" si="605"/>
        <v>13.22969432366564</v>
      </c>
    </row>
    <row r="922" spans="2:12" x14ac:dyDescent="0.25">
      <c r="B922" s="5" t="str">
        <f t="shared" si="584"/>
        <v>SPS2</v>
      </c>
      <c r="C922" s="5" t="str">
        <f t="shared" si="583"/>
        <v>CH</v>
      </c>
      <c r="D922" t="s">
        <v>981</v>
      </c>
      <c r="E922" t="s">
        <v>8</v>
      </c>
      <c r="F922" s="1">
        <f>[1]Services!B$21-F923</f>
        <v>2.9295852157077618</v>
      </c>
      <c r="G922" s="1">
        <f>[1]Services!C$21-G923</f>
        <v>3.1924507253508825</v>
      </c>
      <c r="H922" s="1">
        <f>[1]Services!D$21-H923</f>
        <v>2.8451132894324331</v>
      </c>
      <c r="I922" s="1">
        <f>[1]Services!E$21-I923</f>
        <v>5.0278614046708281</v>
      </c>
      <c r="J922" s="1">
        <f>[1]Services!F$21-J923</f>
        <v>10.813724302153419</v>
      </c>
      <c r="K922" s="1">
        <f>[1]Services!G$21-K923</f>
        <v>13.22969432366564</v>
      </c>
    </row>
    <row r="923" spans="2:12" x14ac:dyDescent="0.25">
      <c r="B923" s="5" t="str">
        <f t="shared" si="584"/>
        <v>SPS2</v>
      </c>
      <c r="C923" s="5" t="str">
        <f t="shared" ref="C923" si="606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1.0072055330269558</v>
      </c>
      <c r="I923" s="1">
        <f>[1]Services!E$50-I894</f>
        <v>3.0078496665154035</v>
      </c>
      <c r="J923" s="1">
        <f>[1]Services!F$50-J894</f>
        <v>5.3490357274925255</v>
      </c>
      <c r="K923" s="1">
        <f>[1]Services!G$50-K894</f>
        <v>5.9155293272567704</v>
      </c>
    </row>
    <row r="924" spans="2:12" x14ac:dyDescent="0.25">
      <c r="B924" s="9" t="str">
        <f t="shared" si="584"/>
        <v>SPS2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73.238341684231997</v>
      </c>
      <c r="G924" s="17">
        <f>[1]Services!C$59</f>
        <v>78.574042457312061</v>
      </c>
      <c r="H924" s="17">
        <f>[1]Services!D$59</f>
        <v>61.753772659228986</v>
      </c>
      <c r="I924" s="17">
        <f>[1]Services!E$59</f>
        <v>60.780566941705018</v>
      </c>
      <c r="J924" s="17">
        <f>[1]Services!F$59</f>
        <v>59.763732796131762</v>
      </c>
      <c r="K924" s="17">
        <f>[1]Services!G$59</f>
        <v>58.300256348412709</v>
      </c>
    </row>
    <row r="925" spans="2:12" x14ac:dyDescent="0.25">
      <c r="B925" s="5" t="str">
        <f t="shared" si="584"/>
        <v>SPS2</v>
      </c>
      <c r="C925" s="5" t="str">
        <f>C924</f>
        <v>CH</v>
      </c>
      <c r="D925" t="s">
        <v>983</v>
      </c>
      <c r="E925" t="s">
        <v>8</v>
      </c>
      <c r="F925" s="1">
        <f>SUM(F926:F928)</f>
        <v>63.650028700997048</v>
      </c>
      <c r="G925" s="1">
        <f t="shared" ref="G925:K925" si="607">SUM(G926:G928)</f>
        <v>63.321854681457097</v>
      </c>
      <c r="H925" s="1">
        <f t="shared" si="607"/>
        <v>59.696398727869138</v>
      </c>
      <c r="I925" s="1">
        <f t="shared" si="607"/>
        <v>59.928000784781922</v>
      </c>
      <c r="J925" s="1">
        <f t="shared" si="607"/>
        <v>64.072485952269929</v>
      </c>
      <c r="K925" s="1">
        <f t="shared" si="607"/>
        <v>63.089790678321449</v>
      </c>
    </row>
    <row r="926" spans="2:12" x14ac:dyDescent="0.25">
      <c r="B926" s="5" t="str">
        <f t="shared" si="584"/>
        <v>SPS2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2.3940392668733161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2.3075959749910666E-3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0.49767796819027921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0.30366255346233179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0.21873025917507216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0.15803765219412083</v>
      </c>
    </row>
    <row r="927" spans="2:12" x14ac:dyDescent="0.25">
      <c r="B927" s="5" t="str">
        <f t="shared" si="584"/>
        <v>SPS2</v>
      </c>
      <c r="C927" s="5" t="str">
        <f t="shared" ref="C927:C930" si="608">C926</f>
        <v>CH</v>
      </c>
      <c r="D927" t="s">
        <v>729</v>
      </c>
      <c r="E927" t="s">
        <v>8</v>
      </c>
      <c r="F927" s="1">
        <f>[1]Services!B$47</f>
        <v>4.2612148592112895</v>
      </c>
      <c r="G927" s="1">
        <f>[1]Services!C$47</f>
        <v>4.6176519420253834</v>
      </c>
      <c r="H927" s="1">
        <f>[1]Services!D$47</f>
        <v>4.3748286267420902</v>
      </c>
      <c r="I927" s="1">
        <f>[1]Services!E$47</f>
        <v>7.3491092704818737</v>
      </c>
      <c r="J927" s="1">
        <f>[1]Services!F$47</f>
        <v>14.96843742172436</v>
      </c>
      <c r="K927" s="1">
        <f>[1]Services!G$47</f>
        <v>17.812712624437616</v>
      </c>
    </row>
    <row r="928" spans="2:12" x14ac:dyDescent="0.25">
      <c r="B928" s="5" t="str">
        <f t="shared" si="584"/>
        <v>SPS2</v>
      </c>
      <c r="C928" s="5" t="str">
        <f t="shared" si="608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58.701895143456724</v>
      </c>
      <c r="H928" s="1">
        <f>[1]Services!D$3-([1]Services!D$6-[1]Services!D$58)</f>
        <v>54.82389213293677</v>
      </c>
      <c r="I928" s="1">
        <f>[1]Services!E$3-([1]Services!E$6-[1]Services!E$58)</f>
        <v>52.275228960837715</v>
      </c>
      <c r="J928" s="1">
        <f>[1]Services!F$3-([1]Services!F$6-[1]Services!F$58)</f>
        <v>48.885318271370494</v>
      </c>
      <c r="K928" s="1">
        <f>[1]Services!G$3-([1]Services!G$6-[1]Services!G$58)</f>
        <v>45.119040401689716</v>
      </c>
      <c r="L928" s="1"/>
    </row>
    <row r="929" spans="2:11" x14ac:dyDescent="0.25">
      <c r="B929" s="5" t="str">
        <f t="shared" si="584"/>
        <v>SPS2</v>
      </c>
      <c r="C929" s="5" t="str">
        <f t="shared" si="608"/>
        <v>CH</v>
      </c>
      <c r="D929" t="s">
        <v>1041</v>
      </c>
      <c r="E929" t="s">
        <v>8</v>
      </c>
      <c r="F929" s="1">
        <f>F930</f>
        <v>24.843070947295473</v>
      </c>
      <c r="G929" s="1">
        <f t="shared" ref="G929:K929" si="609">G930</f>
        <v>22.290362293924712</v>
      </c>
      <c r="H929" s="1">
        <f t="shared" si="609"/>
        <v>19.882178779790753</v>
      </c>
      <c r="I929" s="1">
        <f t="shared" si="609"/>
        <v>12.401761825892178</v>
      </c>
      <c r="J929" s="1">
        <f t="shared" si="609"/>
        <v>4.2519357046201005</v>
      </c>
      <c r="K929" s="1">
        <f t="shared" si="609"/>
        <v>0.19237240666837704</v>
      </c>
    </row>
    <row r="930" spans="2:11" x14ac:dyDescent="0.25">
      <c r="B930" s="5" t="str">
        <f t="shared" si="584"/>
        <v>SPS2</v>
      </c>
      <c r="C930" s="5" t="str">
        <f t="shared" si="608"/>
        <v>CH</v>
      </c>
      <c r="D930" t="s">
        <v>1042</v>
      </c>
      <c r="E930" t="s">
        <v>8</v>
      </c>
      <c r="F930" s="1">
        <f>[1]Services!B$48</f>
        <v>24.843070947295473</v>
      </c>
      <c r="G930" s="1">
        <f>[1]Services!C$48</f>
        <v>22.290362293924712</v>
      </c>
      <c r="H930" s="1">
        <f>[1]Services!D$48</f>
        <v>19.882178779790753</v>
      </c>
      <c r="I930" s="1">
        <f>[1]Services!E$48</f>
        <v>12.401761825892178</v>
      </c>
      <c r="J930" s="1">
        <f>[1]Services!F$48</f>
        <v>4.2519357046201005</v>
      </c>
      <c r="K930" s="1">
        <f>[1]Services!G$48</f>
        <v>0.19237240666837704</v>
      </c>
    </row>
    <row r="931" spans="2:11" x14ac:dyDescent="0.25">
      <c r="B931" s="5" t="str">
        <f t="shared" si="584"/>
        <v>SPS2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25.412783154590297</v>
      </c>
      <c r="G931" s="1">
        <f t="shared" ref="G931:K931" si="610">SUM(G932:G934)</f>
        <v>26.667687958383421</v>
      </c>
      <c r="H931" s="1">
        <f t="shared" si="610"/>
        <v>21.55973304753142</v>
      </c>
      <c r="I931" s="1">
        <f t="shared" si="610"/>
        <v>20.70348563952021</v>
      </c>
      <c r="J931" s="1">
        <f t="shared" si="610"/>
        <v>15.363023961487301</v>
      </c>
      <c r="K931" s="1">
        <f t="shared" si="610"/>
        <v>12.281589513967978</v>
      </c>
    </row>
    <row r="932" spans="2:11" x14ac:dyDescent="0.25">
      <c r="B932" s="5" t="str">
        <f t="shared" si="584"/>
        <v>SPS2</v>
      </c>
      <c r="C932" s="5" t="str">
        <f t="shared" ref="C932:C951" si="611">C931</f>
        <v>CH</v>
      </c>
      <c r="D932" t="s">
        <v>1044</v>
      </c>
      <c r="E932" t="s">
        <v>8</v>
      </c>
      <c r="F932" s="1">
        <f>[1]Services!B$49</f>
        <v>24.189716008183314</v>
      </c>
      <c r="G932" s="1">
        <f>[1]Services!C$49</f>
        <v>25.326920916096864</v>
      </c>
      <c r="H932" s="1">
        <f>[1]Services!D$49</f>
        <v>19.477091580797151</v>
      </c>
      <c r="I932" s="1">
        <f>[1]Services!E$49</f>
        <v>14.742854205581388</v>
      </c>
      <c r="J932" s="1">
        <f>[1]Services!F$49</f>
        <v>5.236893577808595</v>
      </c>
      <c r="K932" s="1">
        <f>[1]Services!G$49</f>
        <v>1.8220261726672842</v>
      </c>
    </row>
    <row r="933" spans="2:11" x14ac:dyDescent="0.25">
      <c r="B933" s="5" t="str">
        <f t="shared" si="584"/>
        <v>SPS2</v>
      </c>
      <c r="C933" s="5" t="str">
        <f t="shared" ref="C933" si="612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2.0826414667342705</v>
      </c>
      <c r="I933" s="1">
        <f>[1]Services!E$50</f>
        <v>5.9606314339388238</v>
      </c>
      <c r="J933" s="1">
        <f>[1]Services!F$50</f>
        <v>10.126130383678705</v>
      </c>
      <c r="K933" s="1">
        <f>[1]Services!G$50</f>
        <v>10.459563341300694</v>
      </c>
    </row>
    <row r="934" spans="2:11" x14ac:dyDescent="0.25">
      <c r="B934" s="5" t="str">
        <f t="shared" si="584"/>
        <v>SPS2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1.223067146406982</v>
      </c>
      <c r="G934" s="1">
        <f>[1]Services!C$56</f>
        <v>1.3407670422865576</v>
      </c>
      <c r="H934" s="1">
        <f>[1]Services!D$56</f>
        <v>0</v>
      </c>
      <c r="I934" s="1">
        <f>[1]Services!E$56</f>
        <v>0</v>
      </c>
      <c r="J934" s="1">
        <f>[1]Services!F$56</f>
        <v>0</v>
      </c>
      <c r="K934" s="1">
        <f>[1]Services!G$56</f>
        <v>0</v>
      </c>
    </row>
    <row r="935" spans="2:11" x14ac:dyDescent="0.25">
      <c r="B935" s="5" t="str">
        <f t="shared" si="584"/>
        <v>SPS2</v>
      </c>
      <c r="C935" s="5" t="str">
        <f t="shared" si="611"/>
        <v>CH</v>
      </c>
      <c r="D935" t="s">
        <v>984</v>
      </c>
      <c r="E935" t="s">
        <v>8</v>
      </c>
      <c r="F935" s="1">
        <f>F936+F942</f>
        <v>7.6496204500155764</v>
      </c>
      <c r="G935" s="1">
        <f t="shared" ref="G935:K935" si="613">G936+G942</f>
        <v>8.285999351850851</v>
      </c>
      <c r="H935" s="1">
        <f t="shared" si="613"/>
        <v>4.8413445948101392</v>
      </c>
      <c r="I935" s="1">
        <f t="shared" si="613"/>
        <v>6.1870254422191504</v>
      </c>
      <c r="J935" s="1">
        <f t="shared" si="613"/>
        <v>7.2467849063955949</v>
      </c>
      <c r="K935" s="1">
        <f t="shared" si="613"/>
        <v>7.0240106518889434</v>
      </c>
    </row>
    <row r="936" spans="2:11" x14ac:dyDescent="0.25">
      <c r="B936" s="5" t="str">
        <f t="shared" si="584"/>
        <v>SPS2</v>
      </c>
      <c r="C936" s="5" t="str">
        <f t="shared" si="611"/>
        <v>CH</v>
      </c>
      <c r="D936" t="s">
        <v>985</v>
      </c>
      <c r="E936" t="s">
        <v>8</v>
      </c>
      <c r="F936" s="1">
        <f>[1]Services!B$51</f>
        <v>2.0957176223053837</v>
      </c>
      <c r="G936" s="1">
        <f>[1]Services!C$51</f>
        <v>2.2700621242848671</v>
      </c>
      <c r="H936" s="1">
        <f>[1]Services!D$51</f>
        <v>0</v>
      </c>
      <c r="I936" s="1">
        <f>[1]Services!E$51</f>
        <v>0</v>
      </c>
      <c r="J936" s="1">
        <f>[1]Services!F$51</f>
        <v>0</v>
      </c>
      <c r="K936" s="1">
        <f>[1]Services!G$51</f>
        <v>0</v>
      </c>
    </row>
    <row r="937" spans="2:11" x14ac:dyDescent="0.25">
      <c r="B937" s="5" t="str">
        <f t="shared" si="584"/>
        <v>SPS2</v>
      </c>
      <c r="C937" s="5" t="str">
        <f t="shared" si="611"/>
        <v>CH</v>
      </c>
      <c r="D937" t="s">
        <v>692</v>
      </c>
      <c r="E937" t="s">
        <v>8</v>
      </c>
      <c r="F937" s="1">
        <f>IFERROR(F905/F$904,0)*F$936</f>
        <v>1.4100633087996339</v>
      </c>
      <c r="G937" s="1">
        <f t="shared" ref="G937:K937" si="614">IFERROR(G905/G$904,0)*G$936</f>
        <v>1.5273038966197732</v>
      </c>
      <c r="H937" s="1">
        <f t="shared" si="614"/>
        <v>0</v>
      </c>
      <c r="I937" s="1">
        <f t="shared" si="614"/>
        <v>0</v>
      </c>
      <c r="J937" s="1">
        <f t="shared" si="614"/>
        <v>0</v>
      </c>
      <c r="K937" s="1">
        <f t="shared" si="614"/>
        <v>0</v>
      </c>
    </row>
    <row r="938" spans="2:11" x14ac:dyDescent="0.25">
      <c r="B938" s="5" t="str">
        <f t="shared" si="584"/>
        <v>SPS2</v>
      </c>
      <c r="C938" s="5" t="str">
        <f t="shared" si="611"/>
        <v>CH</v>
      </c>
      <c r="D938" t="s">
        <v>693</v>
      </c>
      <c r="E938" t="s">
        <v>8</v>
      </c>
      <c r="F938" s="1">
        <f>IFERROR(F906/F$904,0)*F$936</f>
        <v>0.6856543135057499</v>
      </c>
      <c r="G938" s="1">
        <f t="shared" ref="G938:K941" si="615">IFERROR(G906/G$904,0)*G$936</f>
        <v>0.74275822766509392</v>
      </c>
      <c r="H938" s="1">
        <f t="shared" si="615"/>
        <v>0</v>
      </c>
      <c r="I938" s="1">
        <f t="shared" si="615"/>
        <v>0</v>
      </c>
      <c r="J938" s="1">
        <f t="shared" si="615"/>
        <v>0</v>
      </c>
      <c r="K938" s="1">
        <f t="shared" si="615"/>
        <v>0</v>
      </c>
    </row>
    <row r="939" spans="2:11" x14ac:dyDescent="0.25">
      <c r="B939" s="5" t="str">
        <f t="shared" si="584"/>
        <v>SPS2</v>
      </c>
      <c r="C939" s="5" t="str">
        <f t="shared" si="611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15"/>
        <v>0</v>
      </c>
      <c r="H939" s="1">
        <f t="shared" si="615"/>
        <v>0</v>
      </c>
      <c r="I939" s="1">
        <f t="shared" si="615"/>
        <v>0</v>
      </c>
      <c r="J939" s="1">
        <f t="shared" si="615"/>
        <v>0</v>
      </c>
      <c r="K939" s="1">
        <f t="shared" si="615"/>
        <v>0</v>
      </c>
    </row>
    <row r="940" spans="2:11" x14ac:dyDescent="0.25">
      <c r="B940" s="5" t="str">
        <f t="shared" si="584"/>
        <v>SPS2</v>
      </c>
      <c r="C940" s="5" t="str">
        <f t="shared" si="611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15"/>
        <v>0</v>
      </c>
      <c r="H940" s="1">
        <f t="shared" si="615"/>
        <v>0</v>
      </c>
      <c r="I940" s="1">
        <f t="shared" si="615"/>
        <v>0</v>
      </c>
      <c r="J940" s="1">
        <f t="shared" si="615"/>
        <v>0</v>
      </c>
      <c r="K940" s="1">
        <f t="shared" si="615"/>
        <v>0</v>
      </c>
    </row>
    <row r="941" spans="2:11" x14ac:dyDescent="0.25">
      <c r="B941" s="5" t="str">
        <f t="shared" si="584"/>
        <v>SPS2</v>
      </c>
      <c r="C941" s="5" t="str">
        <f t="shared" si="611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15"/>
        <v>0</v>
      </c>
      <c r="H941" s="1">
        <f t="shared" si="615"/>
        <v>0</v>
      </c>
      <c r="I941" s="1">
        <f t="shared" si="615"/>
        <v>0</v>
      </c>
      <c r="J941" s="1">
        <f t="shared" si="615"/>
        <v>0</v>
      </c>
      <c r="K941" s="1">
        <f t="shared" si="615"/>
        <v>0</v>
      </c>
    </row>
    <row r="942" spans="2:11" x14ac:dyDescent="0.25">
      <c r="B942" s="5" t="str">
        <f t="shared" si="584"/>
        <v>SPS2</v>
      </c>
      <c r="C942" s="5" t="str">
        <f t="shared" si="611"/>
        <v>CH</v>
      </c>
      <c r="D942" t="s">
        <v>986</v>
      </c>
      <c r="E942" t="s">
        <v>8</v>
      </c>
      <c r="F942" s="1">
        <f>[1]Services!B$52</f>
        <v>5.5539028277101927</v>
      </c>
      <c r="G942" s="1">
        <f>[1]Services!C$52</f>
        <v>6.0159372275659839</v>
      </c>
      <c r="H942" s="1">
        <f>[1]Services!D$52</f>
        <v>4.8413445948101392</v>
      </c>
      <c r="I942" s="1">
        <f>[1]Services!E$52</f>
        <v>6.1870254422191504</v>
      </c>
      <c r="J942" s="1">
        <f>[1]Services!F$52</f>
        <v>7.2467849063955949</v>
      </c>
      <c r="K942" s="1">
        <f>[1]Services!G$52</f>
        <v>7.0240106518889434</v>
      </c>
    </row>
    <row r="943" spans="2:11" x14ac:dyDescent="0.25">
      <c r="B943" s="5" t="str">
        <f t="shared" si="584"/>
        <v>SPS2</v>
      </c>
      <c r="C943" s="5" t="str">
        <f t="shared" si="611"/>
        <v>CH</v>
      </c>
      <c r="D943" t="s">
        <v>987</v>
      </c>
      <c r="E943" t="s">
        <v>8</v>
      </c>
      <c r="F943" s="1">
        <f>F944</f>
        <v>6.1735457710597021</v>
      </c>
      <c r="G943" s="1">
        <f t="shared" ref="G943:K943" si="616">G944</f>
        <v>4.7454747500016268</v>
      </c>
      <c r="H943" s="1">
        <f t="shared" si="616"/>
        <v>7.3166302620376023</v>
      </c>
      <c r="I943" s="1">
        <f t="shared" si="616"/>
        <v>7.7007279064040768</v>
      </c>
      <c r="J943" s="1">
        <f t="shared" si="616"/>
        <v>6.469788042737048</v>
      </c>
      <c r="K943" s="1">
        <f t="shared" si="616"/>
        <v>4.9038844022405721</v>
      </c>
    </row>
    <row r="944" spans="2:11" x14ac:dyDescent="0.25">
      <c r="B944" s="5" t="str">
        <f t="shared" si="584"/>
        <v>SPS2</v>
      </c>
      <c r="C944" s="5" t="str">
        <f t="shared" si="611"/>
        <v>CH</v>
      </c>
      <c r="D944" t="s">
        <v>988</v>
      </c>
      <c r="E944" t="s">
        <v>8</v>
      </c>
      <c r="F944" s="1">
        <f>[1]Services!B$53</f>
        <v>6.1735457710597021</v>
      </c>
      <c r="G944" s="1">
        <f>[1]Services!C$53</f>
        <v>4.7454747500016268</v>
      </c>
      <c r="H944" s="1">
        <f>[1]Services!D$53</f>
        <v>7.3166302620376023</v>
      </c>
      <c r="I944" s="1">
        <f>[1]Services!E$53</f>
        <v>7.7007279064040768</v>
      </c>
      <c r="J944" s="1">
        <f>[1]Services!F$53</f>
        <v>6.469788042737048</v>
      </c>
      <c r="K944" s="1">
        <f>[1]Services!G$53</f>
        <v>4.9038844022405721</v>
      </c>
    </row>
    <row r="945" spans="2:11" x14ac:dyDescent="0.25">
      <c r="B945" s="5" t="str">
        <f t="shared" si="584"/>
        <v>SPS2</v>
      </c>
      <c r="C945" s="5" t="str">
        <f t="shared" si="611"/>
        <v>CH</v>
      </c>
      <c r="D945" t="s">
        <v>989</v>
      </c>
      <c r="E945" t="s">
        <v>8</v>
      </c>
      <c r="F945" s="1">
        <f>F946</f>
        <v>1.8770718037536425</v>
      </c>
      <c r="G945" s="1">
        <f t="shared" ref="G945:K945" si="617">G946</f>
        <v>2.1600825784416551</v>
      </c>
      <c r="H945" s="1">
        <f t="shared" si="617"/>
        <v>0.41069854048760784</v>
      </c>
      <c r="I945" s="1">
        <f t="shared" si="617"/>
        <v>0.76196457757119362</v>
      </c>
      <c r="J945" s="1">
        <f t="shared" si="617"/>
        <v>1.2262372589461954</v>
      </c>
      <c r="K945" s="1">
        <f t="shared" si="617"/>
        <v>1.2528713555650488</v>
      </c>
    </row>
    <row r="946" spans="2:11" x14ac:dyDescent="0.25">
      <c r="B946" s="5" t="str">
        <f t="shared" si="584"/>
        <v>SPS2</v>
      </c>
      <c r="C946" s="5" t="str">
        <f t="shared" si="611"/>
        <v>CH</v>
      </c>
      <c r="D946" t="s">
        <v>990</v>
      </c>
      <c r="E946" t="s">
        <v>8</v>
      </c>
      <c r="F946" s="1">
        <f>[1]Services!B$54</f>
        <v>1.8770718037536425</v>
      </c>
      <c r="G946" s="1">
        <f>[1]Services!C$54</f>
        <v>2.1600825784416551</v>
      </c>
      <c r="H946" s="1">
        <f>[1]Services!D$54</f>
        <v>0.41069854048760784</v>
      </c>
      <c r="I946" s="1">
        <f>[1]Services!E$54</f>
        <v>0.76196457757119362</v>
      </c>
      <c r="J946" s="1">
        <f>[1]Services!F$54</f>
        <v>1.2262372589461954</v>
      </c>
      <c r="K946" s="1">
        <f>[1]Services!G$54</f>
        <v>1.2528713555650488</v>
      </c>
    </row>
    <row r="947" spans="2:11" x14ac:dyDescent="0.25">
      <c r="B947" s="5" t="str">
        <f t="shared" si="584"/>
        <v>SPS2</v>
      </c>
      <c r="C947" s="5" t="str">
        <f t="shared" si="611"/>
        <v>CH</v>
      </c>
      <c r="D947" t="s">
        <v>991</v>
      </c>
      <c r="E947" t="s">
        <v>8</v>
      </c>
      <c r="F947" s="1">
        <f>F948</f>
        <v>0.62699543143269842</v>
      </c>
      <c r="G947" s="1">
        <f t="shared" ref="G947:K947" si="618">G948</f>
        <v>0.68733497560772716</v>
      </c>
      <c r="H947" s="1">
        <f t="shared" si="618"/>
        <v>0.5235588634146302</v>
      </c>
      <c r="I947" s="1">
        <f t="shared" si="618"/>
        <v>0.61153554282192013</v>
      </c>
      <c r="J947" s="1">
        <f t="shared" si="618"/>
        <v>0.73497390536342855</v>
      </c>
      <c r="K947" s="1">
        <f t="shared" si="618"/>
        <v>0.77999180878400287</v>
      </c>
    </row>
    <row r="948" spans="2:11" x14ac:dyDescent="0.25">
      <c r="B948" s="5" t="str">
        <f t="shared" ref="B948:B1011" si="619">B947</f>
        <v>SPS2</v>
      </c>
      <c r="C948" s="5" t="str">
        <f t="shared" si="611"/>
        <v>CH</v>
      </c>
      <c r="D948" t="s">
        <v>992</v>
      </c>
      <c r="E948" t="s">
        <v>8</v>
      </c>
      <c r="F948" s="1">
        <f>[1]Services!B$55</f>
        <v>0.62699543143269842</v>
      </c>
      <c r="G948" s="1">
        <f>[1]Services!C$55</f>
        <v>0.68733497560772716</v>
      </c>
      <c r="H948" s="1">
        <f>[1]Services!D$55</f>
        <v>0.5235588634146302</v>
      </c>
      <c r="I948" s="1">
        <f>[1]Services!E$55</f>
        <v>0.61153554282192013</v>
      </c>
      <c r="J948" s="1">
        <f>[1]Services!F$55</f>
        <v>0.73497390536342855</v>
      </c>
      <c r="K948" s="1">
        <f>[1]Services!G$55</f>
        <v>0.77999180878400287</v>
      </c>
    </row>
    <row r="949" spans="2:11" x14ac:dyDescent="0.25">
      <c r="B949" s="5" t="str">
        <f t="shared" si="619"/>
        <v>SPS2</v>
      </c>
      <c r="C949" s="5" t="str">
        <f t="shared" si="611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20">G950</f>
        <v>0</v>
      </c>
      <c r="H949" s="1">
        <f t="shared" si="620"/>
        <v>0</v>
      </c>
      <c r="I949" s="1">
        <f t="shared" si="620"/>
        <v>0</v>
      </c>
      <c r="J949" s="1">
        <f t="shared" si="620"/>
        <v>0</v>
      </c>
      <c r="K949" s="1">
        <f t="shared" si="620"/>
        <v>0</v>
      </c>
    </row>
    <row r="950" spans="2:11" x14ac:dyDescent="0.25">
      <c r="B950" s="5" t="str">
        <f t="shared" si="619"/>
        <v>SPS2</v>
      </c>
      <c r="C950" s="5" t="str">
        <f t="shared" si="611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0</v>
      </c>
      <c r="J950" s="1">
        <f>[1]Services!F$57</f>
        <v>0</v>
      </c>
      <c r="K950" s="1">
        <f>[1]Services!G$57</f>
        <v>0</v>
      </c>
    </row>
    <row r="951" spans="2:11" x14ac:dyDescent="0.25">
      <c r="B951" s="5" t="str">
        <f t="shared" si="619"/>
        <v>SPS2</v>
      </c>
      <c r="C951" s="5" t="str">
        <f t="shared" si="611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9.1171410111016762</v>
      </c>
      <c r="H951" s="1">
        <f>[1]Services!D$58</f>
        <v>2.3471219762244577</v>
      </c>
      <c r="I951" s="1">
        <f>[1]Services!E$58</f>
        <v>4.7612941833320912</v>
      </c>
      <c r="J951" s="1">
        <f>[1]Services!F$58</f>
        <v>9.2838213356826653</v>
      </c>
      <c r="K951" s="1">
        <f>[1]Services!G$58</f>
        <v>13.894785932666052</v>
      </c>
    </row>
    <row r="952" spans="2:11" x14ac:dyDescent="0.25">
      <c r="B952" s="5" t="str">
        <f t="shared" si="619"/>
        <v>SPS2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si="619"/>
        <v>SPS2</v>
      </c>
      <c r="C953" s="5" t="str">
        <f t="shared" ref="C953:C969" si="621">C952</f>
        <v>CH</v>
      </c>
      <c r="D953" t="s">
        <v>761</v>
      </c>
      <c r="E953" t="s">
        <v>240</v>
      </c>
      <c r="F953" s="4">
        <f t="shared" ref="F953:K955" si="622">IFERROR(F926/F882,"-")</f>
        <v>0.91250000000000053</v>
      </c>
      <c r="G953" s="4">
        <f t="shared" si="622"/>
        <v>0.91500000000000015</v>
      </c>
      <c r="H953" s="4">
        <f t="shared" si="622"/>
        <v>0.4720957927811148</v>
      </c>
      <c r="I953" s="4">
        <f t="shared" si="622"/>
        <v>0.49331635904527665</v>
      </c>
      <c r="J953" s="4">
        <f t="shared" si="622"/>
        <v>0.50668010979975908</v>
      </c>
      <c r="K953" s="4">
        <f t="shared" si="622"/>
        <v>0.52857318191268587</v>
      </c>
    </row>
    <row r="954" spans="2:11" x14ac:dyDescent="0.25">
      <c r="B954" s="5" t="str">
        <f t="shared" si="619"/>
        <v>SPS2</v>
      </c>
      <c r="C954" s="5" t="str">
        <f t="shared" si="621"/>
        <v>CH</v>
      </c>
      <c r="D954" t="s">
        <v>730</v>
      </c>
      <c r="E954" t="s">
        <v>240</v>
      </c>
      <c r="F954" s="4">
        <f t="shared" si="622"/>
        <v>3.2000000000000006</v>
      </c>
      <c r="G954" s="4">
        <f t="shared" si="622"/>
        <v>3.2400000000000007</v>
      </c>
      <c r="H954" s="4">
        <f t="shared" si="622"/>
        <v>2.8598972109648808</v>
      </c>
      <c r="I954" s="4">
        <f t="shared" si="622"/>
        <v>3.1660165976777699</v>
      </c>
      <c r="J954" s="4">
        <f t="shared" si="622"/>
        <v>3.6027607661320689</v>
      </c>
      <c r="K954" s="4">
        <f t="shared" si="622"/>
        <v>3.8866771754843739</v>
      </c>
    </row>
    <row r="955" spans="2:11" x14ac:dyDescent="0.25">
      <c r="B955" s="5" t="str">
        <f t="shared" si="619"/>
        <v>SPS2</v>
      </c>
      <c r="C955" s="5" t="str">
        <f t="shared" si="621"/>
        <v>CH</v>
      </c>
      <c r="D955" t="s">
        <v>699</v>
      </c>
      <c r="E955" t="s">
        <v>240</v>
      </c>
      <c r="F955" s="4">
        <f t="shared" si="622"/>
        <v>1</v>
      </c>
      <c r="G955" s="4">
        <f t="shared" si="622"/>
        <v>1</v>
      </c>
      <c r="H955" s="4">
        <f t="shared" si="622"/>
        <v>0.99999999999999989</v>
      </c>
      <c r="I955" s="4">
        <f t="shared" si="622"/>
        <v>1</v>
      </c>
      <c r="J955" s="4">
        <f t="shared" si="622"/>
        <v>1.0000000000000002</v>
      </c>
      <c r="K955" s="4">
        <f t="shared" si="622"/>
        <v>1</v>
      </c>
    </row>
    <row r="956" spans="2:11" x14ac:dyDescent="0.25">
      <c r="B956" s="5" t="str">
        <f t="shared" si="619"/>
        <v>SPS2</v>
      </c>
      <c r="C956" s="5" t="str">
        <f t="shared" si="621"/>
        <v>CH</v>
      </c>
      <c r="D956" t="s">
        <v>700</v>
      </c>
      <c r="E956" t="s">
        <v>240</v>
      </c>
      <c r="F956" s="4">
        <f t="shared" ref="F956:K956" si="623">IFERROR(F930/F886,"-")</f>
        <v>0.8210784313725491</v>
      </c>
      <c r="G956" s="4">
        <f t="shared" si="623"/>
        <v>0.82270432925645487</v>
      </c>
      <c r="H956" s="4">
        <f t="shared" si="623"/>
        <v>0.79189623524108654</v>
      </c>
      <c r="I956" s="4">
        <f t="shared" si="623"/>
        <v>0.81710097364648226</v>
      </c>
      <c r="J956" s="4">
        <f t="shared" si="623"/>
        <v>0.81710097364648238</v>
      </c>
      <c r="K956" s="4">
        <f t="shared" si="623"/>
        <v>0.82030862349966172</v>
      </c>
    </row>
    <row r="957" spans="2:11" x14ac:dyDescent="0.25">
      <c r="B957" s="5" t="str">
        <f t="shared" si="619"/>
        <v>SPS2</v>
      </c>
      <c r="C957" s="5" t="str">
        <f t="shared" si="621"/>
        <v>CH</v>
      </c>
      <c r="D957" t="s">
        <v>701</v>
      </c>
      <c r="E957" t="s">
        <v>240</v>
      </c>
      <c r="F957" s="4">
        <f t="shared" ref="F957:K959" si="624">IFERROR(F932/F893,"-")</f>
        <v>0.94680851063829852</v>
      </c>
      <c r="G957" s="4">
        <f t="shared" si="624"/>
        <v>0.94680851063829963</v>
      </c>
      <c r="H957" s="4">
        <f t="shared" si="624"/>
        <v>0.81645784407233468</v>
      </c>
      <c r="I957" s="4">
        <f t="shared" si="624"/>
        <v>0.75960104225788783</v>
      </c>
      <c r="J957" s="4">
        <f t="shared" si="624"/>
        <v>0.48498441601913</v>
      </c>
      <c r="K957" s="4">
        <f t="shared" si="624"/>
        <v>0.28169253393931443</v>
      </c>
    </row>
    <row r="958" spans="2:11" x14ac:dyDescent="0.25">
      <c r="B958" s="5" t="str">
        <f t="shared" si="619"/>
        <v>SPS2</v>
      </c>
      <c r="C958" s="5" t="str">
        <f t="shared" si="621"/>
        <v>CH</v>
      </c>
      <c r="D958" t="s">
        <v>731</v>
      </c>
      <c r="E958" t="s">
        <v>240</v>
      </c>
      <c r="F958" s="4" t="str">
        <f t="shared" si="624"/>
        <v>-</v>
      </c>
      <c r="G958" s="4" t="str">
        <f t="shared" si="624"/>
        <v>-</v>
      </c>
      <c r="H958" s="4">
        <f t="shared" si="624"/>
        <v>1.9365555877929888</v>
      </c>
      <c r="I958" s="4">
        <f t="shared" si="624"/>
        <v>2.0186494984829291</v>
      </c>
      <c r="J958" s="4">
        <f t="shared" si="624"/>
        <v>2.1197257145754276</v>
      </c>
      <c r="K958" s="4">
        <f t="shared" si="624"/>
        <v>2.3018232937900693</v>
      </c>
    </row>
    <row r="959" spans="2:11" x14ac:dyDescent="0.25">
      <c r="B959" s="5" t="str">
        <f t="shared" si="619"/>
        <v>SPS2</v>
      </c>
      <c r="C959" s="5" t="str">
        <f t="shared" si="621"/>
        <v>CH</v>
      </c>
      <c r="D959" t="s">
        <v>702</v>
      </c>
      <c r="E959" t="s">
        <v>240</v>
      </c>
      <c r="F959" s="4">
        <f t="shared" si="624"/>
        <v>0.87219999999999998</v>
      </c>
      <c r="G959" s="4">
        <f t="shared" si="624"/>
        <v>0.87219999999999975</v>
      </c>
      <c r="H959" s="4" t="str">
        <f t="shared" si="624"/>
        <v>-</v>
      </c>
      <c r="I959" s="4" t="str">
        <f t="shared" si="624"/>
        <v>-</v>
      </c>
      <c r="J959" s="4" t="str">
        <f t="shared" si="624"/>
        <v>-</v>
      </c>
      <c r="K959" s="4" t="str">
        <f t="shared" si="624"/>
        <v>-</v>
      </c>
    </row>
    <row r="960" spans="2:11" x14ac:dyDescent="0.25">
      <c r="B960" s="5" t="str">
        <f t="shared" si="619"/>
        <v>SPS2</v>
      </c>
      <c r="C960" s="5" t="str">
        <f>C959</f>
        <v>CH</v>
      </c>
      <c r="D960" t="s">
        <v>703</v>
      </c>
      <c r="E960" t="s">
        <v>240</v>
      </c>
      <c r="F960" s="4">
        <f t="shared" ref="F960:K965" si="625">IFERROR(F937/F905,"-")</f>
        <v>0.9900000000000001</v>
      </c>
      <c r="G960" s="4">
        <f t="shared" si="625"/>
        <v>0.99</v>
      </c>
      <c r="H960" s="4">
        <f t="shared" si="625"/>
        <v>0</v>
      </c>
      <c r="I960" s="4">
        <f t="shared" si="625"/>
        <v>0</v>
      </c>
      <c r="J960" s="4">
        <f t="shared" si="625"/>
        <v>0</v>
      </c>
      <c r="K960" s="4">
        <f t="shared" si="625"/>
        <v>0</v>
      </c>
    </row>
    <row r="961" spans="2:11" x14ac:dyDescent="0.25">
      <c r="B961" s="5" t="str">
        <f t="shared" si="619"/>
        <v>SPS2</v>
      </c>
      <c r="C961" s="5" t="str">
        <f t="shared" si="621"/>
        <v>CH</v>
      </c>
      <c r="D961" t="s">
        <v>704</v>
      </c>
      <c r="E961" t="s">
        <v>240</v>
      </c>
      <c r="F961" s="4">
        <f t="shared" si="625"/>
        <v>0.9900000000000001</v>
      </c>
      <c r="G961" s="4">
        <f t="shared" si="625"/>
        <v>0.9900000000000001</v>
      </c>
      <c r="H961" s="4">
        <f t="shared" si="625"/>
        <v>0</v>
      </c>
      <c r="I961" s="4">
        <f t="shared" si="625"/>
        <v>0</v>
      </c>
      <c r="J961" s="4">
        <f t="shared" si="625"/>
        <v>0</v>
      </c>
      <c r="K961" s="4">
        <f t="shared" si="625"/>
        <v>0</v>
      </c>
    </row>
    <row r="962" spans="2:11" x14ac:dyDescent="0.25">
      <c r="B962" s="5" t="str">
        <f t="shared" si="619"/>
        <v>SPS2</v>
      </c>
      <c r="C962" s="5" t="str">
        <f t="shared" si="621"/>
        <v>CH</v>
      </c>
      <c r="D962" t="s">
        <v>705</v>
      </c>
      <c r="E962" t="s">
        <v>240</v>
      </c>
      <c r="F962" s="4" t="str">
        <f t="shared" si="625"/>
        <v>-</v>
      </c>
      <c r="G962" s="4" t="str">
        <f t="shared" si="625"/>
        <v>-</v>
      </c>
      <c r="H962" s="4" t="str">
        <f t="shared" si="625"/>
        <v>-</v>
      </c>
      <c r="I962" s="4">
        <f t="shared" si="625"/>
        <v>0</v>
      </c>
      <c r="J962" s="4">
        <f t="shared" si="625"/>
        <v>0</v>
      </c>
      <c r="K962" s="4">
        <f t="shared" si="625"/>
        <v>0</v>
      </c>
    </row>
    <row r="963" spans="2:11" x14ac:dyDescent="0.25">
      <c r="B963" s="5" t="str">
        <f t="shared" si="619"/>
        <v>SPS2</v>
      </c>
      <c r="C963" s="5" t="str">
        <f t="shared" si="621"/>
        <v>CH</v>
      </c>
      <c r="D963" t="s">
        <v>706</v>
      </c>
      <c r="E963" t="s">
        <v>240</v>
      </c>
      <c r="F963" s="4" t="str">
        <f t="shared" si="625"/>
        <v>-</v>
      </c>
      <c r="G963" s="4" t="str">
        <f t="shared" si="625"/>
        <v>-</v>
      </c>
      <c r="H963" s="4" t="str">
        <f t="shared" si="625"/>
        <v>-</v>
      </c>
      <c r="I963" s="4">
        <f t="shared" si="625"/>
        <v>0</v>
      </c>
      <c r="J963" s="4">
        <f t="shared" si="625"/>
        <v>0</v>
      </c>
      <c r="K963" s="4">
        <f t="shared" si="625"/>
        <v>0</v>
      </c>
    </row>
    <row r="964" spans="2:11" x14ac:dyDescent="0.25">
      <c r="B964" s="5" t="str">
        <f t="shared" si="619"/>
        <v>SPS2</v>
      </c>
      <c r="C964" s="5" t="str">
        <f t="shared" si="621"/>
        <v>CH</v>
      </c>
      <c r="D964" t="s">
        <v>707</v>
      </c>
      <c r="E964" t="s">
        <v>240</v>
      </c>
      <c r="F964" s="4" t="str">
        <f t="shared" si="625"/>
        <v>-</v>
      </c>
      <c r="G964" s="4" t="str">
        <f t="shared" si="625"/>
        <v>-</v>
      </c>
      <c r="H964" s="4" t="str">
        <f t="shared" si="625"/>
        <v>-</v>
      </c>
      <c r="I964" s="4">
        <f t="shared" si="625"/>
        <v>0</v>
      </c>
      <c r="J964" s="4">
        <f t="shared" si="625"/>
        <v>0</v>
      </c>
      <c r="K964" s="4">
        <f t="shared" si="625"/>
        <v>0</v>
      </c>
    </row>
    <row r="965" spans="2:11" x14ac:dyDescent="0.25">
      <c r="B965" s="5" t="str">
        <f t="shared" si="619"/>
        <v>SPS2</v>
      </c>
      <c r="C965" s="5" t="str">
        <f t="shared" si="621"/>
        <v>CH</v>
      </c>
      <c r="D965" t="s">
        <v>996</v>
      </c>
      <c r="E965" t="s">
        <v>240</v>
      </c>
      <c r="F965" s="4">
        <f t="shared" si="625"/>
        <v>0.98999999999999955</v>
      </c>
      <c r="G965" s="4">
        <f t="shared" si="625"/>
        <v>0.99</v>
      </c>
      <c r="H965" s="4">
        <f t="shared" si="625"/>
        <v>0.82199541239728724</v>
      </c>
      <c r="I965" s="4">
        <f t="shared" si="625"/>
        <v>0.82267246264335192</v>
      </c>
      <c r="J965" s="4">
        <f t="shared" si="625"/>
        <v>0.8226724626433527</v>
      </c>
      <c r="K965" s="4">
        <f t="shared" si="625"/>
        <v>0.82267246264335336</v>
      </c>
    </row>
    <row r="966" spans="2:11" x14ac:dyDescent="0.25">
      <c r="B966" s="5" t="str">
        <f t="shared" si="619"/>
        <v>SPS2</v>
      </c>
      <c r="C966" s="5" t="str">
        <f t="shared" si="621"/>
        <v>CH</v>
      </c>
      <c r="D966" t="s">
        <v>997</v>
      </c>
      <c r="E966" t="s">
        <v>240</v>
      </c>
      <c r="F966" s="4">
        <f t="shared" ref="F966:K966" si="626">IFERROR(F944/F911,"-")</f>
        <v>0.71999999999999942</v>
      </c>
      <c r="G966" s="4">
        <f t="shared" si="626"/>
        <v>0.7200000000000002</v>
      </c>
      <c r="H966" s="4">
        <f t="shared" si="626"/>
        <v>0.67753146228585548</v>
      </c>
      <c r="I966" s="4">
        <f t="shared" si="626"/>
        <v>0.67993725881038913</v>
      </c>
      <c r="J966" s="4">
        <f t="shared" si="626"/>
        <v>0.68289489788870483</v>
      </c>
      <c r="K966" s="4">
        <f t="shared" si="626"/>
        <v>0.69910946766906112</v>
      </c>
    </row>
    <row r="967" spans="2:11" x14ac:dyDescent="0.25">
      <c r="B967" s="5" t="str">
        <f t="shared" si="619"/>
        <v>SPS2</v>
      </c>
      <c r="C967" s="5" t="str">
        <f t="shared" si="621"/>
        <v>CH</v>
      </c>
      <c r="D967" t="s">
        <v>998</v>
      </c>
      <c r="E967" t="s">
        <v>240</v>
      </c>
      <c r="F967" s="4">
        <f t="shared" ref="F967:K967" si="627">IFERROR(F946/F914,"-")</f>
        <v>0.90000000000000058</v>
      </c>
      <c r="G967" s="4">
        <f t="shared" si="627"/>
        <v>0.9</v>
      </c>
      <c r="H967" s="4">
        <f t="shared" si="627"/>
        <v>0.66573780855918729</v>
      </c>
      <c r="I967" s="4">
        <f t="shared" si="627"/>
        <v>0.67554487188642987</v>
      </c>
      <c r="J967" s="4">
        <f t="shared" si="627"/>
        <v>0.68331334268763222</v>
      </c>
      <c r="K967" s="4">
        <f t="shared" si="627"/>
        <v>0.68414241631448069</v>
      </c>
    </row>
    <row r="968" spans="2:11" x14ac:dyDescent="0.25">
      <c r="B968" s="5" t="str">
        <f t="shared" si="619"/>
        <v>SPS2</v>
      </c>
      <c r="C968" s="5" t="str">
        <f t="shared" si="621"/>
        <v>CH</v>
      </c>
      <c r="D968" t="s">
        <v>999</v>
      </c>
      <c r="E968" t="s">
        <v>240</v>
      </c>
      <c r="F968" s="4">
        <f t="shared" ref="F968:K968" si="628">IFERROR(F948/F916,"-")</f>
        <v>1</v>
      </c>
      <c r="G968" s="4">
        <f t="shared" si="628"/>
        <v>1</v>
      </c>
      <c r="H968" s="4">
        <f t="shared" si="628"/>
        <v>1</v>
      </c>
      <c r="I968" s="4">
        <f t="shared" si="628"/>
        <v>1</v>
      </c>
      <c r="J968" s="4">
        <f t="shared" si="628"/>
        <v>1</v>
      </c>
      <c r="K968" s="4">
        <f t="shared" si="628"/>
        <v>1</v>
      </c>
    </row>
    <row r="969" spans="2:11" x14ac:dyDescent="0.25">
      <c r="B969" s="5" t="str">
        <f t="shared" si="619"/>
        <v>SPS2</v>
      </c>
      <c r="C969" s="5" t="str">
        <f t="shared" si="621"/>
        <v>CH</v>
      </c>
      <c r="D969" t="s">
        <v>1000</v>
      </c>
      <c r="E969" t="s">
        <v>240</v>
      </c>
      <c r="F969" s="4" t="str">
        <f t="shared" ref="F969:K969" si="629">IFERROR(F950/F920,"-")</f>
        <v>-</v>
      </c>
      <c r="G969" s="4" t="str">
        <f t="shared" si="629"/>
        <v>-</v>
      </c>
      <c r="H969" s="4">
        <f t="shared" si="629"/>
        <v>0</v>
      </c>
      <c r="I969" s="4">
        <f t="shared" si="629"/>
        <v>0</v>
      </c>
      <c r="J969" s="4">
        <f t="shared" si="629"/>
        <v>0</v>
      </c>
      <c r="K969" s="4">
        <f t="shared" si="629"/>
        <v>0</v>
      </c>
    </row>
    <row r="970" spans="2:11" x14ac:dyDescent="0.25">
      <c r="B970" s="9" t="str">
        <f t="shared" si="619"/>
        <v>SPS2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219.90509103015395</v>
      </c>
      <c r="G970" s="3">
        <f>[1]Residential!C$26</f>
        <v>218.16116493291975</v>
      </c>
      <c r="H970" s="3">
        <f>[1]Residential!D$26</f>
        <v>215.7854785885238</v>
      </c>
      <c r="I970" s="3">
        <f>[1]Residential!E$26</f>
        <v>199.01364394116709</v>
      </c>
      <c r="J970" s="3">
        <f>[1]Residential!F$26</f>
        <v>181.21374134414674</v>
      </c>
      <c r="K970" s="3">
        <f>[1]Residential!G$26</f>
        <v>164.44969599836912</v>
      </c>
    </row>
    <row r="971" spans="2:11" x14ac:dyDescent="0.25">
      <c r="B971" s="5" t="str">
        <f t="shared" si="619"/>
        <v>SPS2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69.470031708054861</v>
      </c>
      <c r="G971" s="1">
        <f>[1]Residential!C$15</f>
        <v>68.680860969460895</v>
      </c>
      <c r="H971" s="1">
        <f>[1]Residential!D$15</f>
        <v>67.556163323626564</v>
      </c>
      <c r="I971" s="1">
        <f>[1]Residential!E$15</f>
        <v>65.746840480804252</v>
      </c>
      <c r="J971" s="1">
        <f>[1]Residential!F$15</f>
        <v>66.626446275086096</v>
      </c>
      <c r="K971" s="1">
        <f>[1]Residential!G$15</f>
        <v>62.453182843331845</v>
      </c>
    </row>
    <row r="972" spans="2:11" x14ac:dyDescent="0.25">
      <c r="B972" s="5" t="str">
        <f t="shared" si="619"/>
        <v>SPS2</v>
      </c>
      <c r="C972" s="5" t="str">
        <f>C971</f>
        <v>CH</v>
      </c>
      <c r="D972" t="s">
        <v>1002</v>
      </c>
      <c r="E972" t="s">
        <v>8</v>
      </c>
      <c r="F972" s="1">
        <f>SUM(F973:F974)</f>
        <v>15.333209187294948</v>
      </c>
      <c r="G972" s="1">
        <f t="shared" ref="G972:K972" si="630">SUM(G973:G974)</f>
        <v>13.734371599209194</v>
      </c>
      <c r="H972" s="1">
        <f t="shared" si="630"/>
        <v>11.258833089120474</v>
      </c>
      <c r="I972" s="1">
        <f t="shared" si="630"/>
        <v>12.605461435341594</v>
      </c>
      <c r="J972" s="1">
        <f t="shared" si="630"/>
        <v>14.481111689746978</v>
      </c>
      <c r="K972" s="1">
        <f t="shared" si="630"/>
        <v>13.150479517205085</v>
      </c>
    </row>
    <row r="973" spans="2:11" x14ac:dyDescent="0.25">
      <c r="B973" s="5" t="str">
        <f t="shared" si="619"/>
        <v>SPS2</v>
      </c>
      <c r="C973" s="5" t="str">
        <f t="shared" ref="C973" si="631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9.3768523218667923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6.950196912170358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0.88645761390502453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0.22266649896077215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1.6402544734090613E-2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1.4581464484328267E-2</v>
      </c>
    </row>
    <row r="974" spans="2:11" x14ac:dyDescent="0.25">
      <c r="B974" s="5" t="str">
        <f t="shared" si="619"/>
        <v>SPS2</v>
      </c>
      <c r="C974" s="5" t="str">
        <f t="shared" ref="C974:C978" si="632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5.9563568654281553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6.7841746870388349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10.372375475215449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12.382794936380822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14.464709145012888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13.135898052720757</v>
      </c>
    </row>
    <row r="975" spans="2:11" x14ac:dyDescent="0.25">
      <c r="B975" s="5" t="str">
        <f t="shared" si="619"/>
        <v>SPS2</v>
      </c>
      <c r="C975" s="5" t="str">
        <f t="shared" si="632"/>
        <v>CH</v>
      </c>
      <c r="D975" t="s">
        <v>1003</v>
      </c>
      <c r="E975" t="s">
        <v>8</v>
      </c>
      <c r="F975" s="1">
        <f>SUM(F976:F977)</f>
        <v>9.5599146465171625</v>
      </c>
      <c r="G975" s="1">
        <f t="shared" ref="G975:K975" si="633">SUM(G976:G977)</f>
        <v>10.085308484839405</v>
      </c>
      <c r="H975" s="1">
        <f t="shared" si="633"/>
        <v>8.4272239569806366</v>
      </c>
      <c r="I975" s="1">
        <f t="shared" si="633"/>
        <v>7.5519727370613632</v>
      </c>
      <c r="J975" s="1">
        <f t="shared" si="633"/>
        <v>8.4434550628909957</v>
      </c>
      <c r="K975" s="1">
        <f t="shared" si="633"/>
        <v>8.4795483922231796</v>
      </c>
    </row>
    <row r="976" spans="2:11" x14ac:dyDescent="0.25">
      <c r="B976" s="5" t="str">
        <f t="shared" si="619"/>
        <v>SPS2</v>
      </c>
      <c r="C976" s="5" t="str">
        <f t="shared" si="632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8.411014815522055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8.7988753766432275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5.9374199078035641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4.1476209829982933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3.4205778738485475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2.9974608660269513</v>
      </c>
    </row>
    <row r="977" spans="2:11" x14ac:dyDescent="0.25">
      <c r="B977" s="5" t="str">
        <f t="shared" si="619"/>
        <v>SPS2</v>
      </c>
      <c r="C977" s="5" t="str">
        <f t="shared" si="632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1.1488998309951082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1.2864331081961777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2.489804049177073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3.4043517540630699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5.0228771890424486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5.4820875261962287</v>
      </c>
    </row>
    <row r="978" spans="2:11" x14ac:dyDescent="0.25">
      <c r="B978" s="5" t="str">
        <f t="shared" si="619"/>
        <v>SPS2</v>
      </c>
      <c r="C978" s="5" t="str">
        <f t="shared" si="632"/>
        <v>CH</v>
      </c>
      <c r="D978" t="s">
        <v>1004</v>
      </c>
      <c r="E978" t="s">
        <v>8</v>
      </c>
      <c r="F978" s="1">
        <f>[1]Residential!B$3-([1]Residential!B$10-[1]Residential!B$244)</f>
        <v>44.57690787424275</v>
      </c>
      <c r="G978" s="1">
        <f>[1]Residential!C$3-([1]Residential!C$10-[1]Residential!C$244)</f>
        <v>44.861180885412296</v>
      </c>
      <c r="H978" s="1">
        <f>[1]Residential!D$3-([1]Residential!D$10-[1]Residential!D$244)</f>
        <v>47.870106277525458</v>
      </c>
      <c r="I978" s="1">
        <f>[1]Residential!E$3-([1]Residential!E$10-[1]Residential!E$244)</f>
        <v>45.589406308401301</v>
      </c>
      <c r="J978" s="1">
        <f>[1]Residential!F$3-([1]Residential!F$10-[1]Residential!F$244)</f>
        <v>43.701879522448124</v>
      </c>
      <c r="K978" s="1">
        <f>[1]Residential!G$3-([1]Residential!G$10-[1]Residential!G$244)</f>
        <v>40.823154933903581</v>
      </c>
    </row>
    <row r="979" spans="2:11" x14ac:dyDescent="0.25">
      <c r="B979" s="5" t="str">
        <f t="shared" si="619"/>
        <v>SPS2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60.231829333469676</v>
      </c>
      <c r="G979" s="1">
        <f>SUM([1]Residential!C$16:C$17)</f>
        <v>51.320009450466159</v>
      </c>
      <c r="H979" s="1">
        <f>SUM([1]Residential!D$16:D$17)</f>
        <v>47.659696966481242</v>
      </c>
      <c r="I979" s="1">
        <f>SUM([1]Residential!E$16:E$17)</f>
        <v>23.572242720256533</v>
      </c>
      <c r="J979" s="1">
        <f>SUM([1]Residential!F$16:F$17)</f>
        <v>5.6446015410900499</v>
      </c>
      <c r="K979" s="1">
        <f>SUM([1]Residential!G$16:G$17)</f>
        <v>0.3646505232045873</v>
      </c>
    </row>
    <row r="980" spans="2:11" x14ac:dyDescent="0.25">
      <c r="B980" s="5" t="str">
        <f t="shared" si="619"/>
        <v>SPS2</v>
      </c>
      <c r="C980" s="5" t="str">
        <f t="shared" ref="C980:C991" si="634">C979</f>
        <v>CH</v>
      </c>
      <c r="D980" t="s">
        <v>1005</v>
      </c>
      <c r="E980" t="s">
        <v>8</v>
      </c>
      <c r="F980" s="1">
        <f>[1]Residential!B$16</f>
        <v>60.231829333469676</v>
      </c>
      <c r="G980" s="1">
        <f>[1]Residential!C$16</f>
        <v>51.320009450466159</v>
      </c>
      <c r="H980" s="1">
        <f>[1]Residential!D$16</f>
        <v>47.659467959492012</v>
      </c>
      <c r="I980" s="1">
        <f>[1]Residential!E$16</f>
        <v>23.571732737125455</v>
      </c>
      <c r="J980" s="1">
        <f>[1]Residential!F$16</f>
        <v>5.6441230074329782</v>
      </c>
      <c r="K980" s="1">
        <f>[1]Residential!G$16</f>
        <v>0</v>
      </c>
    </row>
    <row r="981" spans="2:11" x14ac:dyDescent="0.25">
      <c r="B981" s="5" t="str">
        <f t="shared" si="619"/>
        <v>SPS2</v>
      </c>
      <c r="C981" s="5" t="str">
        <f t="shared" si="634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2.2900698922804258E-4</v>
      </c>
      <c r="I981" s="1">
        <f>[1]Residential!E$17</f>
        <v>5.0998313107736477E-4</v>
      </c>
      <c r="J981" s="1">
        <f>[1]Residential!F$17</f>
        <v>4.7853365707182269E-4</v>
      </c>
      <c r="K981" s="1">
        <f>[1]Residential!G$17</f>
        <v>0.3646505232045873</v>
      </c>
    </row>
    <row r="982" spans="2:11" x14ac:dyDescent="0.25">
      <c r="B982" s="5" t="str">
        <f t="shared" si="619"/>
        <v>SPS2</v>
      </c>
      <c r="C982" s="5" t="str">
        <f t="shared" si="634"/>
        <v>CH</v>
      </c>
      <c r="D982" t="s">
        <v>1007</v>
      </c>
      <c r="E982" t="s">
        <v>8</v>
      </c>
      <c r="F982" s="1">
        <f>SUM(F984,F986)</f>
        <v>50.371415867291532</v>
      </c>
      <c r="G982" s="1">
        <f t="shared" ref="G982:K982" si="635">SUM(G984,G986)</f>
        <v>43.563272309431113</v>
      </c>
      <c r="H982" s="1">
        <f t="shared" si="635"/>
        <v>39.021636143511387</v>
      </c>
      <c r="I982" s="1">
        <f t="shared" si="635"/>
        <v>19.669918908164934</v>
      </c>
      <c r="J982" s="1">
        <f t="shared" si="635"/>
        <v>4.3350356687447329</v>
      </c>
      <c r="K982" s="1">
        <f t="shared" si="635"/>
        <v>0.27664116177766696</v>
      </c>
    </row>
    <row r="983" spans="2:11" x14ac:dyDescent="0.25">
      <c r="B983" s="5" t="str">
        <f t="shared" si="619"/>
        <v>SPS2</v>
      </c>
      <c r="C983" s="5" t="str">
        <f t="shared" si="634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50.371415867291532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43.563272309431113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39.021636143511387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19.669918908164934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4.3350356687447329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0.27664116177766696</v>
      </c>
    </row>
    <row r="984" spans="2:11" x14ac:dyDescent="0.25">
      <c r="B984" s="5" t="str">
        <f t="shared" si="619"/>
        <v>SPS2</v>
      </c>
      <c r="C984" s="5" t="str">
        <f t="shared" si="634"/>
        <v>CH</v>
      </c>
      <c r="D984" t="s">
        <v>1008</v>
      </c>
      <c r="E984" t="s">
        <v>8</v>
      </c>
      <c r="F984" s="1">
        <f>F985</f>
        <v>50.371415867291532</v>
      </c>
      <c r="G984" s="1">
        <f t="shared" ref="G984:K984" si="636">G985</f>
        <v>43.563272309431113</v>
      </c>
      <c r="H984" s="1">
        <f t="shared" si="636"/>
        <v>39.021448642793239</v>
      </c>
      <c r="I984" s="1">
        <f t="shared" si="636"/>
        <v>19.669493351422123</v>
      </c>
      <c r="J984" s="1">
        <f t="shared" si="636"/>
        <v>4.3346681564487808</v>
      </c>
      <c r="K984" s="1">
        <f t="shared" si="636"/>
        <v>0</v>
      </c>
    </row>
    <row r="985" spans="2:11" x14ac:dyDescent="0.25">
      <c r="B985" s="5" t="str">
        <f t="shared" si="619"/>
        <v>SPS2</v>
      </c>
      <c r="C985" s="5" t="str">
        <f t="shared" si="634"/>
        <v>CH</v>
      </c>
      <c r="D985" t="s">
        <v>709</v>
      </c>
      <c r="E985" t="s">
        <v>8</v>
      </c>
      <c r="F985" s="1">
        <f>F983*IFERROR(F980/F979,0)</f>
        <v>50.371415867291532</v>
      </c>
      <c r="G985" s="1">
        <f t="shared" ref="G985:K985" si="637">G983*IFERROR(G980/G979,0)</f>
        <v>43.563272309431113</v>
      </c>
      <c r="H985" s="1">
        <f t="shared" si="637"/>
        <v>39.021448642793239</v>
      </c>
      <c r="I985" s="1">
        <f t="shared" si="637"/>
        <v>19.669493351422123</v>
      </c>
      <c r="J985" s="1">
        <f t="shared" si="637"/>
        <v>4.3346681564487808</v>
      </c>
      <c r="K985" s="1">
        <f t="shared" si="637"/>
        <v>0</v>
      </c>
    </row>
    <row r="986" spans="2:11" x14ac:dyDescent="0.25">
      <c r="B986" s="5" t="str">
        <f t="shared" si="619"/>
        <v>SPS2</v>
      </c>
      <c r="C986" s="5" t="str">
        <f t="shared" si="634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38">G987</f>
        <v>0</v>
      </c>
      <c r="H986" s="1">
        <f t="shared" si="638"/>
        <v>1.8750071814821467E-4</v>
      </c>
      <c r="I986" s="1">
        <f t="shared" si="638"/>
        <v>4.2555674281175015E-4</v>
      </c>
      <c r="J986" s="1">
        <f t="shared" si="638"/>
        <v>3.6751229595211043E-4</v>
      </c>
      <c r="K986" s="1">
        <f t="shared" si="638"/>
        <v>0.27664116177766696</v>
      </c>
    </row>
    <row r="987" spans="2:11" x14ac:dyDescent="0.25">
      <c r="B987" s="5" t="str">
        <f t="shared" si="619"/>
        <v>SPS2</v>
      </c>
      <c r="C987" s="5" t="str">
        <f t="shared" si="634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39">G983-G985</f>
        <v>0</v>
      </c>
      <c r="H987" s="1">
        <f t="shared" si="639"/>
        <v>1.8750071814821467E-4</v>
      </c>
      <c r="I987" s="1">
        <f t="shared" si="639"/>
        <v>4.2555674281175015E-4</v>
      </c>
      <c r="J987" s="1">
        <f t="shared" si="639"/>
        <v>3.6751229595211043E-4</v>
      </c>
      <c r="K987" s="1">
        <f t="shared" si="639"/>
        <v>0.27664116177766696</v>
      </c>
    </row>
    <row r="988" spans="2:11" x14ac:dyDescent="0.25">
      <c r="B988" s="5" t="str">
        <f t="shared" si="619"/>
        <v>SPS2</v>
      </c>
      <c r="C988" s="5" t="str">
        <f t="shared" si="634"/>
        <v>CH</v>
      </c>
      <c r="D988" t="s">
        <v>1010</v>
      </c>
      <c r="E988" t="s">
        <v>8</v>
      </c>
      <c r="F988" s="1">
        <f>F989</f>
        <v>9.8604134661781444</v>
      </c>
      <c r="G988" s="1">
        <f t="shared" ref="G988:K988" si="640">G989</f>
        <v>7.7567371410350496</v>
      </c>
      <c r="H988" s="1">
        <f t="shared" si="640"/>
        <v>8.6380608229698446</v>
      </c>
      <c r="I988" s="1">
        <f t="shared" si="640"/>
        <v>3.9023238120915997</v>
      </c>
      <c r="J988" s="1">
        <f t="shared" si="640"/>
        <v>1.3095658723453185</v>
      </c>
      <c r="K988" s="1">
        <f t="shared" si="640"/>
        <v>8.8009361426920382E-2</v>
      </c>
    </row>
    <row r="989" spans="2:11" x14ac:dyDescent="0.25">
      <c r="B989" s="5" t="str">
        <f t="shared" si="619"/>
        <v>SPS2</v>
      </c>
      <c r="C989" s="5" t="str">
        <f t="shared" si="634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9.8604134661781444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7.7567371410350496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8.6380608229698446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3.9023238120915997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1.3095658723453185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8.8009361426920382E-2</v>
      </c>
    </row>
    <row r="990" spans="2:11" x14ac:dyDescent="0.25">
      <c r="B990" s="5" t="str">
        <f t="shared" si="619"/>
        <v>SPS2</v>
      </c>
      <c r="C990" s="5" t="str">
        <f t="shared" si="634"/>
        <v>CH</v>
      </c>
      <c r="D990" t="s">
        <v>712</v>
      </c>
      <c r="E990" t="s">
        <v>8</v>
      </c>
      <c r="F990" s="1">
        <f>IFERROR(F980/F979,0)*F989</f>
        <v>9.8604134661781444</v>
      </c>
      <c r="G990" s="1">
        <f t="shared" ref="G990:K990" si="641">IFERROR(G980/G979,0)*G989</f>
        <v>7.7567371410350496</v>
      </c>
      <c r="H990" s="1">
        <f t="shared" si="641"/>
        <v>8.6380193166987649</v>
      </c>
      <c r="I990" s="1">
        <f t="shared" si="641"/>
        <v>3.9022393857033353</v>
      </c>
      <c r="J990" s="1">
        <f t="shared" si="641"/>
        <v>1.309454850984199</v>
      </c>
      <c r="K990" s="1">
        <f t="shared" si="641"/>
        <v>0</v>
      </c>
    </row>
    <row r="991" spans="2:11" x14ac:dyDescent="0.25">
      <c r="B991" s="5" t="str">
        <f t="shared" si="619"/>
        <v>SPS2</v>
      </c>
      <c r="C991" s="5" t="str">
        <f t="shared" si="634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42">G989-G990</f>
        <v>0</v>
      </c>
      <c r="H991" s="1">
        <f t="shared" si="642"/>
        <v>4.1506271079683188E-5</v>
      </c>
      <c r="I991" s="1">
        <f t="shared" si="642"/>
        <v>8.4426388264446928E-5</v>
      </c>
      <c r="J991" s="1">
        <f t="shared" si="642"/>
        <v>1.1102136111951211E-4</v>
      </c>
      <c r="K991" s="1">
        <f t="shared" si="642"/>
        <v>8.8009361426920382E-2</v>
      </c>
    </row>
    <row r="992" spans="2:11" x14ac:dyDescent="0.25">
      <c r="B992" s="5" t="str">
        <f t="shared" si="619"/>
        <v>SPS2</v>
      </c>
      <c r="C992" s="5" t="str">
        <f>C991</f>
        <v>CH</v>
      </c>
      <c r="D992" t="s">
        <v>677</v>
      </c>
      <c r="E992" t="s">
        <v>8</v>
      </c>
      <c r="F992" s="1">
        <f>SUM(F993:F994)</f>
        <v>47.001925950029879</v>
      </c>
      <c r="G992" s="1">
        <f t="shared" ref="G992:K992" si="643">SUM(G993:G994)</f>
        <v>48.266945407520872</v>
      </c>
      <c r="H992" s="1">
        <f t="shared" si="643"/>
        <v>46.844188379241309</v>
      </c>
      <c r="I992" s="1">
        <f t="shared" si="643"/>
        <v>38.359207330391975</v>
      </c>
      <c r="J992" s="1">
        <f t="shared" si="643"/>
        <v>21.864789415038103</v>
      </c>
      <c r="K992" s="1">
        <f t="shared" si="643"/>
        <v>14.252757930665426</v>
      </c>
    </row>
    <row r="993" spans="2:13" x14ac:dyDescent="0.25">
      <c r="B993" s="5" t="str">
        <f t="shared" si="619"/>
        <v>SPS2</v>
      </c>
      <c r="C993" s="5" t="str">
        <f t="shared" ref="C993:C1053" si="644">C992</f>
        <v>CH</v>
      </c>
      <c r="D993" t="s">
        <v>1011</v>
      </c>
      <c r="E993" t="s">
        <v>8</v>
      </c>
      <c r="F993" s="1">
        <f>[1]Residential!B$18</f>
        <v>46.694621986603458</v>
      </c>
      <c r="G993" s="1">
        <f>[1]Residential!C$18</f>
        <v>46.486516565245083</v>
      </c>
      <c r="H993" s="1">
        <f>[1]Residential!D$18</f>
        <v>45.292375048053763</v>
      </c>
      <c r="I993" s="1">
        <f>[1]Residential!E$18</f>
        <v>34.142415419054686</v>
      </c>
      <c r="J993" s="1">
        <f>[1]Residential!F$18</f>
        <v>20.057412992383956</v>
      </c>
      <c r="K993" s="1">
        <f>[1]Residential!G$18</f>
        <v>9.2863036016955451</v>
      </c>
    </row>
    <row r="994" spans="2:13" x14ac:dyDescent="0.25">
      <c r="B994" s="5" t="str">
        <f t="shared" si="619"/>
        <v>SPS2</v>
      </c>
      <c r="C994" s="5" t="str">
        <f t="shared" si="644"/>
        <v>CH</v>
      </c>
      <c r="D994" t="s">
        <v>1012</v>
      </c>
      <c r="E994" t="s">
        <v>8</v>
      </c>
      <c r="F994" s="1">
        <f>[1]Residential!B$19</f>
        <v>0.30730396342642002</v>
      </c>
      <c r="G994" s="1">
        <f>[1]Residential!C$19</f>
        <v>1.7804288422757872</v>
      </c>
      <c r="H994" s="1">
        <f>[1]Residential!D$19</f>
        <v>1.5518133311875446</v>
      </c>
      <c r="I994" s="1">
        <f>[1]Residential!E$19</f>
        <v>4.2167919113372863</v>
      </c>
      <c r="J994" s="1">
        <f>[1]Residential!F$19</f>
        <v>1.8073764226541489</v>
      </c>
      <c r="K994" s="1">
        <f>[1]Residential!G$19</f>
        <v>4.9664543289698813</v>
      </c>
    </row>
    <row r="995" spans="2:13" x14ac:dyDescent="0.25">
      <c r="B995" s="5" t="str">
        <f t="shared" si="619"/>
        <v>SPS2</v>
      </c>
      <c r="C995" s="5" t="str">
        <f t="shared" si="644"/>
        <v>CH</v>
      </c>
      <c r="D995" t="s">
        <v>1013</v>
      </c>
      <c r="E995" t="s">
        <v>8</v>
      </c>
      <c r="F995" s="1">
        <f>SUM(F996:F997)</f>
        <v>38.494655862264203</v>
      </c>
      <c r="G995" s="1">
        <f t="shared" ref="G995:K995" si="645">SUM(G996:G997)</f>
        <v>40.917859223689128</v>
      </c>
      <c r="H995" s="1">
        <f t="shared" si="645"/>
        <v>36.59920556863959</v>
      </c>
      <c r="I995" s="1">
        <f t="shared" si="645"/>
        <v>31.794487738657352</v>
      </c>
      <c r="J995" s="1">
        <f t="shared" si="645"/>
        <v>16.9973441403422</v>
      </c>
      <c r="K995" s="1">
        <f t="shared" si="645"/>
        <v>11.391843247848772</v>
      </c>
    </row>
    <row r="996" spans="2:13" x14ac:dyDescent="0.25">
      <c r="B996" s="5" t="str">
        <f t="shared" si="619"/>
        <v>SPS2</v>
      </c>
      <c r="C996" s="5" t="str">
        <f t="shared" si="644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38.494655862264203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40.917859223689128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33.982792399874157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24.706688571185687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7.0357553093056779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2.6170311945773852</v>
      </c>
    </row>
    <row r="997" spans="2:13" x14ac:dyDescent="0.25">
      <c r="B997" s="5" t="str">
        <f t="shared" si="619"/>
        <v>SPS2</v>
      </c>
      <c r="C997" s="5" t="str">
        <f t="shared" si="644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2.616413168765432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7.0877991674716645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9.9615888310365222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8.7748120532713862</v>
      </c>
    </row>
    <row r="998" spans="2:13" x14ac:dyDescent="0.25">
      <c r="B998" s="5" t="str">
        <f t="shared" si="619"/>
        <v>SPS2</v>
      </c>
      <c r="C998" s="5" t="str">
        <f t="shared" si="644"/>
        <v>CH</v>
      </c>
      <c r="D998" t="s">
        <v>1014</v>
      </c>
      <c r="E998" t="s">
        <v>8</v>
      </c>
      <c r="F998" s="1">
        <f>SUM(F999:F1000)</f>
        <v>38.242973402915908</v>
      </c>
      <c r="G998" s="1">
        <f t="shared" ref="G998:K998" si="646">SUM(G999:G1000)</f>
        <v>39.408517041146851</v>
      </c>
      <c r="H998" s="1">
        <f t="shared" si="646"/>
        <v>35.38677907396994</v>
      </c>
      <c r="I998" s="1">
        <f t="shared" si="646"/>
        <v>28.29934933377017</v>
      </c>
      <c r="J998" s="1">
        <f t="shared" si="646"/>
        <v>15.59231807474176</v>
      </c>
      <c r="K998" s="1">
        <f t="shared" si="646"/>
        <v>7.4222908644818419</v>
      </c>
    </row>
    <row r="999" spans="2:13" x14ac:dyDescent="0.25">
      <c r="B999" s="5" t="str">
        <f t="shared" si="619"/>
        <v>SPS2</v>
      </c>
      <c r="C999" s="5" t="str">
        <f t="shared" si="644"/>
        <v>CH</v>
      </c>
      <c r="D999" t="s">
        <v>716</v>
      </c>
      <c r="E999" t="s">
        <v>8</v>
      </c>
      <c r="F999" s="1">
        <f>F996-F1002</f>
        <v>38.242973402915908</v>
      </c>
      <c r="G999" s="1">
        <f t="shared" ref="G999:K999" si="647">G996-G1002</f>
        <v>39.408517041146851</v>
      </c>
      <c r="H999" s="1">
        <f t="shared" si="647"/>
        <v>32.857040153935522</v>
      </c>
      <c r="I999" s="1">
        <f t="shared" si="647"/>
        <v>21.990705323003155</v>
      </c>
      <c r="J999" s="1">
        <f t="shared" si="647"/>
        <v>6.4541691791938156</v>
      </c>
      <c r="K999" s="1">
        <f t="shared" si="647"/>
        <v>1.7051118335256072</v>
      </c>
    </row>
    <row r="1000" spans="2:13" x14ac:dyDescent="0.25">
      <c r="B1000" s="5" t="str">
        <f t="shared" si="619"/>
        <v>SPS2</v>
      </c>
      <c r="C1000" s="5" t="str">
        <f t="shared" si="644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48">G997-G1003</f>
        <v>0</v>
      </c>
      <c r="H1000" s="1">
        <f t="shared" si="648"/>
        <v>2.5297389200344176</v>
      </c>
      <c r="I1000" s="1">
        <f t="shared" si="648"/>
        <v>6.3086440107670159</v>
      </c>
      <c r="J1000" s="1">
        <f t="shared" si="648"/>
        <v>9.1381488955479444</v>
      </c>
      <c r="K1000" s="1">
        <f t="shared" si="648"/>
        <v>5.7171790309562347</v>
      </c>
    </row>
    <row r="1001" spans="2:13" x14ac:dyDescent="0.25">
      <c r="B1001" s="5" t="str">
        <f t="shared" si="619"/>
        <v>SPS2</v>
      </c>
      <c r="C1001" s="5" t="str">
        <f t="shared" si="644"/>
        <v>CH</v>
      </c>
      <c r="D1001" t="s">
        <v>1015</v>
      </c>
      <c r="E1001" t="s">
        <v>8</v>
      </c>
      <c r="F1001" s="1">
        <f>SUM(F1002:F1003)</f>
        <v>0.25168245934829281</v>
      </c>
      <c r="G1001" s="1">
        <f t="shared" ref="G1001:K1001" si="649">SUM(G1002:G1003)</f>
        <v>1.5093421825422768</v>
      </c>
      <c r="H1001" s="1">
        <f t="shared" si="649"/>
        <v>1.2124264946696508</v>
      </c>
      <c r="I1001" s="1">
        <f t="shared" si="649"/>
        <v>3.4951384048871805</v>
      </c>
      <c r="J1001" s="1">
        <f t="shared" si="649"/>
        <v>1.4050260656004405</v>
      </c>
      <c r="K1001" s="1">
        <f t="shared" si="649"/>
        <v>3.9695523833669295</v>
      </c>
      <c r="L1001" s="1"/>
    </row>
    <row r="1002" spans="2:13" x14ac:dyDescent="0.25">
      <c r="B1002" s="5" t="str">
        <f t="shared" si="619"/>
        <v>SPS2</v>
      </c>
      <c r="C1002" s="5" t="str">
        <f t="shared" si="644"/>
        <v>CH</v>
      </c>
      <c r="D1002" t="s">
        <v>717</v>
      </c>
      <c r="E1002" t="s">
        <v>8</v>
      </c>
      <c r="F1002" s="1">
        <f>F996*IFERROR(F$994/F$992,0)</f>
        <v>0.25168245934829281</v>
      </c>
      <c r="G1002" s="1">
        <f t="shared" ref="G1002:K1002" si="650">G996*IFERROR(G994/G992,0)</f>
        <v>1.5093421825422768</v>
      </c>
      <c r="H1002" s="1">
        <f t="shared" si="650"/>
        <v>1.1257522459386367</v>
      </c>
      <c r="I1002" s="1">
        <f t="shared" si="650"/>
        <v>2.7159832481825319</v>
      </c>
      <c r="J1002" s="1">
        <f t="shared" si="650"/>
        <v>0.58158613011186278</v>
      </c>
      <c r="K1002" s="1">
        <f t="shared" si="650"/>
        <v>0.91191936105177784</v>
      </c>
    </row>
    <row r="1003" spans="2:13" x14ac:dyDescent="0.25">
      <c r="B1003" s="5" t="str">
        <f t="shared" si="619"/>
        <v>SPS2</v>
      </c>
      <c r="C1003" s="5" t="str">
        <f t="shared" si="644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51">G997*IFERROR(G$994/G$992,0)</f>
        <v>0</v>
      </c>
      <c r="H1003" s="1">
        <f t="shared" si="651"/>
        <v>8.6674248731014147E-2</v>
      </c>
      <c r="I1003" s="1">
        <f t="shared" si="651"/>
        <v>0.77915515670464863</v>
      </c>
      <c r="J1003" s="1">
        <f t="shared" si="651"/>
        <v>0.82343993548857775</v>
      </c>
      <c r="K1003" s="1">
        <f t="shared" si="651"/>
        <v>3.0576330223151515</v>
      </c>
    </row>
    <row r="1004" spans="2:13" x14ac:dyDescent="0.25">
      <c r="B1004" s="5" t="str">
        <f t="shared" si="619"/>
        <v>SPS2</v>
      </c>
      <c r="C1004" s="5" t="str">
        <f t="shared" si="644"/>
        <v>CH</v>
      </c>
      <c r="D1004" t="s">
        <v>1016</v>
      </c>
      <c r="E1004" t="s">
        <v>8</v>
      </c>
      <c r="F1004" s="1">
        <f>SUM(F1005:F1006)</f>
        <v>8.5072700877656757</v>
      </c>
      <c r="G1004" s="1">
        <f t="shared" ref="G1004:K1004" si="652">SUM(G1005:G1006)</f>
        <v>7.3490861838317443</v>
      </c>
      <c r="H1004" s="1">
        <f t="shared" si="652"/>
        <v>10.244982810601721</v>
      </c>
      <c r="I1004" s="1">
        <f t="shared" si="652"/>
        <v>6.5647195917346233</v>
      </c>
      <c r="J1004" s="1">
        <f t="shared" si="652"/>
        <v>4.8674452746959034</v>
      </c>
      <c r="K1004" s="1">
        <f t="shared" si="652"/>
        <v>2.8609146828166558</v>
      </c>
      <c r="L1004" s="1"/>
      <c r="M1004" s="19"/>
    </row>
    <row r="1005" spans="2:13" x14ac:dyDescent="0.25">
      <c r="B1005" s="5" t="str">
        <f t="shared" si="619"/>
        <v>SPS2</v>
      </c>
      <c r="C1005" s="5" t="str">
        <f t="shared" si="644"/>
        <v>CH</v>
      </c>
      <c r="D1005" t="s">
        <v>719</v>
      </c>
      <c r="E1005" t="s">
        <v>8</v>
      </c>
      <c r="F1005" s="1">
        <f>F992-F996-F997-F1006</f>
        <v>8.5072700877656757</v>
      </c>
      <c r="G1005" s="1">
        <f t="shared" ref="G1005:K1005" si="653">G992-G996-G997-G1006</f>
        <v>7.3490861838317443</v>
      </c>
      <c r="H1005" s="1">
        <f t="shared" si="653"/>
        <v>9.7553932001652335</v>
      </c>
      <c r="I1005" s="1">
        <f t="shared" si="653"/>
        <v>5.1610363098672387</v>
      </c>
      <c r="J1005" s="1">
        <f t="shared" si="653"/>
        <v>2.5952437751783792</v>
      </c>
      <c r="K1005" s="1">
        <f t="shared" si="653"/>
        <v>0.75776323366283549</v>
      </c>
    </row>
    <row r="1006" spans="2:13" x14ac:dyDescent="0.25">
      <c r="B1006" s="5" t="str">
        <f t="shared" si="619"/>
        <v>SPS2</v>
      </c>
      <c r="C1006" s="5" t="str">
        <f t="shared" si="644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0.48958961043648758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1.4036832818673846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2.2722014995175241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2.1031514491538204</v>
      </c>
    </row>
    <row r="1007" spans="2:13" x14ac:dyDescent="0.25">
      <c r="B1007" s="5" t="str">
        <f t="shared" si="619"/>
        <v>SPS2</v>
      </c>
      <c r="C1007" s="5" t="str">
        <f t="shared" si="644"/>
        <v>CH</v>
      </c>
      <c r="D1007" t="s">
        <v>1017</v>
      </c>
      <c r="E1007" t="s">
        <v>8</v>
      </c>
      <c r="F1007" s="1">
        <f>SUM(F1008:F1009)</f>
        <v>8.4516485836875486</v>
      </c>
      <c r="G1007" s="1">
        <f t="shared" ref="G1007:K1007" si="654">SUM(G1008:G1009)</f>
        <v>7.0779995240982334</v>
      </c>
      <c r="H1007" s="1">
        <f t="shared" si="654"/>
        <v>9.9055959740838269</v>
      </c>
      <c r="I1007" s="1">
        <f t="shared" si="654"/>
        <v>5.8430660852845175</v>
      </c>
      <c r="J1007" s="1">
        <f t="shared" si="654"/>
        <v>4.4650949176421957</v>
      </c>
      <c r="K1007" s="1">
        <f t="shared" si="654"/>
        <v>1.8640127372137032</v>
      </c>
    </row>
    <row r="1008" spans="2:13" x14ac:dyDescent="0.25">
      <c r="B1008" s="5" t="str">
        <f t="shared" si="619"/>
        <v>SPS2</v>
      </c>
      <c r="C1008" s="5" t="str">
        <f t="shared" si="644"/>
        <v>CH</v>
      </c>
      <c r="D1008" t="s">
        <v>718</v>
      </c>
      <c r="E1008" t="s">
        <v>8</v>
      </c>
      <c r="F1008" s="1">
        <f>F1005-F1011</f>
        <v>8.4516485836875486</v>
      </c>
      <c r="G1008" s="1">
        <f t="shared" ref="G1008:K1008" si="655">G1005-G1011</f>
        <v>7.0779995240982334</v>
      </c>
      <c r="H1008" s="1">
        <f t="shared" si="655"/>
        <v>9.432225060364539</v>
      </c>
      <c r="I1008" s="1">
        <f t="shared" si="655"/>
        <v>4.5936883983705536</v>
      </c>
      <c r="J1008" s="1">
        <f t="shared" si="655"/>
        <v>2.3807170161385107</v>
      </c>
      <c r="K1008" s="1">
        <f t="shared" si="655"/>
        <v>0.4937163375837339</v>
      </c>
    </row>
    <row r="1009" spans="2:11" x14ac:dyDescent="0.25">
      <c r="B1009" s="5" t="str">
        <f t="shared" si="619"/>
        <v>SPS2</v>
      </c>
      <c r="C1009" s="5" t="str">
        <f t="shared" si="644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56">G1006-G1012</f>
        <v>0</v>
      </c>
      <c r="H1009" s="1">
        <f t="shared" si="656"/>
        <v>0.47337091371928847</v>
      </c>
      <c r="I1009" s="1">
        <f t="shared" si="656"/>
        <v>1.2493776869139634</v>
      </c>
      <c r="J1009" s="1">
        <f t="shared" si="656"/>
        <v>2.0843779015036845</v>
      </c>
      <c r="K1009" s="1">
        <f t="shared" si="656"/>
        <v>1.3702963996299693</v>
      </c>
    </row>
    <row r="1010" spans="2:11" x14ac:dyDescent="0.25">
      <c r="B1010" s="5" t="str">
        <f t="shared" si="619"/>
        <v>SPS2</v>
      </c>
      <c r="C1010" s="5" t="str">
        <f t="shared" si="644"/>
        <v>CH</v>
      </c>
      <c r="D1010" t="s">
        <v>1018</v>
      </c>
      <c r="E1010" t="s">
        <v>8</v>
      </c>
      <c r="F1010" s="1">
        <f t="shared" ref="F1010:K1010" si="657">SUM(F1011:F1012)</f>
        <v>5.5621504078127215E-2</v>
      </c>
      <c r="G1010" s="1">
        <f t="shared" si="657"/>
        <v>0.27108665973351048</v>
      </c>
      <c r="H1010" s="1">
        <f t="shared" si="657"/>
        <v>0.33938683651789375</v>
      </c>
      <c r="I1010" s="1">
        <f t="shared" si="657"/>
        <v>0.72165350645010595</v>
      </c>
      <c r="J1010" s="1">
        <f t="shared" si="657"/>
        <v>0.40235035705370831</v>
      </c>
      <c r="K1010" s="1">
        <f t="shared" si="657"/>
        <v>0.99690194560295253</v>
      </c>
    </row>
    <row r="1011" spans="2:11" x14ac:dyDescent="0.25">
      <c r="B1011" s="5" t="str">
        <f t="shared" si="619"/>
        <v>SPS2</v>
      </c>
      <c r="C1011" s="5" t="str">
        <f t="shared" si="644"/>
        <v>CH</v>
      </c>
      <c r="D1011" t="s">
        <v>738</v>
      </c>
      <c r="E1011" t="s">
        <v>8</v>
      </c>
      <c r="F1011" s="1">
        <f>F1005*IFERROR(F$994/F$992,0)</f>
        <v>5.5621504078127215E-2</v>
      </c>
      <c r="G1011" s="1">
        <f t="shared" ref="G1011:K1011" si="658">G1005*IFERROR(G$994/G$992,0)</f>
        <v>0.27108665973351048</v>
      </c>
      <c r="H1011" s="1">
        <f t="shared" si="658"/>
        <v>0.32316813980069464</v>
      </c>
      <c r="I1011" s="1">
        <f t="shared" si="658"/>
        <v>0.56734791149668484</v>
      </c>
      <c r="J1011" s="1">
        <f t="shared" si="658"/>
        <v>0.21452675903986854</v>
      </c>
      <c r="K1011" s="1">
        <f t="shared" si="658"/>
        <v>0.26404689607910159</v>
      </c>
    </row>
    <row r="1012" spans="2:11" x14ac:dyDescent="0.25">
      <c r="B1012" s="5" t="str">
        <f t="shared" ref="B1012:B1075" si="659">B1011</f>
        <v>SPS2</v>
      </c>
      <c r="C1012" s="5" t="str">
        <f t="shared" si="644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60">G1006*IFERROR(G$994/G$992,0)</f>
        <v>0</v>
      </c>
      <c r="H1012" s="1">
        <f t="shared" si="660"/>
        <v>1.6218696717199117E-2</v>
      </c>
      <c r="I1012" s="1">
        <f t="shared" si="660"/>
        <v>0.15430559495342105</v>
      </c>
      <c r="J1012" s="1">
        <f t="shared" si="660"/>
        <v>0.18782359801383977</v>
      </c>
      <c r="K1012" s="1">
        <f t="shared" si="660"/>
        <v>0.73285504952385094</v>
      </c>
    </row>
    <row r="1013" spans="2:11" x14ac:dyDescent="0.25">
      <c r="B1013" s="5" t="str">
        <f t="shared" si="659"/>
        <v>SPS2</v>
      </c>
      <c r="C1013" s="5" t="str">
        <f t="shared" si="644"/>
        <v>CH</v>
      </c>
      <c r="D1013" t="s">
        <v>1019</v>
      </c>
      <c r="E1013" t="s">
        <v>8</v>
      </c>
      <c r="F1013" s="1">
        <f>[1]Residential!B$20</f>
        <v>0.1000006114602353</v>
      </c>
      <c r="G1013" s="1">
        <f>[1]Residential!C$20</f>
        <v>9.9999724143164895E-2</v>
      </c>
      <c r="H1013" s="1">
        <f>[1]Residential!D$20</f>
        <v>2.6577573555439486E-2</v>
      </c>
      <c r="I1013" s="1">
        <f>[1]Residential!E$20</f>
        <v>2.2480217717257934E-4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59"/>
        <v>SPS2</v>
      </c>
      <c r="C1014" s="5" t="str">
        <f t="shared" si="644"/>
        <v>CH</v>
      </c>
      <c r="D1014" t="s">
        <v>1020</v>
      </c>
      <c r="E1014" t="s">
        <v>8</v>
      </c>
      <c r="F1014" s="1">
        <f>F1013</f>
        <v>0.1000006114602353</v>
      </c>
      <c r="G1014" s="1">
        <f t="shared" ref="G1014:G1015" si="661">G1013</f>
        <v>9.9999724143164895E-2</v>
      </c>
      <c r="H1014" s="1">
        <f t="shared" ref="H1014:H1015" si="662">H1013</f>
        <v>2.6577573555439486E-2</v>
      </c>
      <c r="I1014" s="1">
        <f t="shared" ref="I1014:I1015" si="663">I1013</f>
        <v>2.2480217717257934E-4</v>
      </c>
      <c r="J1014" s="1">
        <f t="shared" ref="J1014:J1015" si="664">J1013</f>
        <v>0</v>
      </c>
      <c r="K1014" s="1">
        <f t="shared" ref="K1014:K1015" si="665">K1013</f>
        <v>0</v>
      </c>
    </row>
    <row r="1015" spans="2:11" x14ac:dyDescent="0.25">
      <c r="B1015" s="5" t="str">
        <f t="shared" si="659"/>
        <v>SPS2</v>
      </c>
      <c r="C1015" s="5" t="str">
        <f t="shared" si="644"/>
        <v>CH</v>
      </c>
      <c r="D1015" t="s">
        <v>764</v>
      </c>
      <c r="E1015" t="s">
        <v>8</v>
      </c>
      <c r="F1015" s="1">
        <f t="shared" ref="F1015" si="666">F1014</f>
        <v>0.1000006114602353</v>
      </c>
      <c r="G1015" s="1">
        <f t="shared" si="661"/>
        <v>9.9999724143164895E-2</v>
      </c>
      <c r="H1015" s="1">
        <f t="shared" si="662"/>
        <v>2.6577573555439486E-2</v>
      </c>
      <c r="I1015" s="1">
        <f t="shared" si="663"/>
        <v>2.2480217717257934E-4</v>
      </c>
      <c r="J1015" s="1">
        <f t="shared" si="664"/>
        <v>0</v>
      </c>
      <c r="K1015" s="1">
        <f t="shared" si="665"/>
        <v>0</v>
      </c>
    </row>
    <row r="1016" spans="2:11" x14ac:dyDescent="0.25">
      <c r="B1016" s="5" t="str">
        <f t="shared" si="659"/>
        <v>SPS2</v>
      </c>
      <c r="C1016" s="5" t="str">
        <f t="shared" si="644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59"/>
        <v>SPS2</v>
      </c>
      <c r="C1017" s="5" t="str">
        <f t="shared" si="644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59"/>
        <v>SPS2</v>
      </c>
      <c r="C1018" s="5" t="str">
        <f t="shared" si="644"/>
        <v>CH</v>
      </c>
      <c r="D1018" t="s">
        <v>1022</v>
      </c>
      <c r="E1018" t="s">
        <v>8</v>
      </c>
      <c r="F1018" s="1">
        <f>F1019+F1021</f>
        <v>13.722991611913136</v>
      </c>
      <c r="G1018" s="1">
        <f t="shared" ref="G1018:K1018" si="667">G1019+G1021</f>
        <v>15.721946317597784</v>
      </c>
      <c r="H1018" s="1">
        <f t="shared" si="667"/>
        <v>17.760603671476066</v>
      </c>
      <c r="I1018" s="1">
        <f t="shared" si="667"/>
        <v>16.490878891889565</v>
      </c>
      <c r="J1018" s="1">
        <f t="shared" si="667"/>
        <v>12.431188550781204</v>
      </c>
      <c r="K1018" s="1">
        <f t="shared" si="667"/>
        <v>8.1892461122284264</v>
      </c>
    </row>
    <row r="1019" spans="2:11" x14ac:dyDescent="0.25">
      <c r="B1019" s="5" t="str">
        <f t="shared" si="659"/>
        <v>SPS2</v>
      </c>
      <c r="C1019" s="5" t="str">
        <f t="shared" si="644"/>
        <v>CH</v>
      </c>
      <c r="D1019" t="s">
        <v>1023</v>
      </c>
      <c r="E1019" t="s">
        <v>8</v>
      </c>
      <c r="F1019" s="1">
        <f>F1020</f>
        <v>12.682048664614701</v>
      </c>
      <c r="G1019" s="1">
        <f t="shared" ref="G1019:K1019" si="668">G1020</f>
        <v>14.527464993924376</v>
      </c>
      <c r="H1019" s="1">
        <f t="shared" si="668"/>
        <v>14.967816348238486</v>
      </c>
      <c r="I1019" s="1">
        <f t="shared" si="668"/>
        <v>13.586683429980926</v>
      </c>
      <c r="J1019" s="1">
        <f t="shared" si="668"/>
        <v>9.7701927884355051</v>
      </c>
      <c r="K1019" s="1">
        <f t="shared" si="668"/>
        <v>6.032551889266319</v>
      </c>
    </row>
    <row r="1020" spans="2:11" x14ac:dyDescent="0.25">
      <c r="B1020" s="5" t="str">
        <f t="shared" si="659"/>
        <v>SPS2</v>
      </c>
      <c r="C1020" s="5" t="str">
        <f t="shared" si="644"/>
        <v>CH</v>
      </c>
      <c r="D1020" t="s">
        <v>766</v>
      </c>
      <c r="E1020" t="s">
        <v>8</v>
      </c>
      <c r="F1020" s="1">
        <f>[1]Residential!B$22-F1022-F1023</f>
        <v>12.682048664614701</v>
      </c>
      <c r="G1020" s="1">
        <f>[1]Residential!C$22-G1022-G1023</f>
        <v>14.527464993924376</v>
      </c>
      <c r="H1020" s="1">
        <f>[1]Residential!D$22-H1022-H1023</f>
        <v>14.967816348238486</v>
      </c>
      <c r="I1020" s="1">
        <f>[1]Residential!E$22-I1022-I1023</f>
        <v>13.586683429980926</v>
      </c>
      <c r="J1020" s="1">
        <f>[1]Residential!F$22-J1022-J1023</f>
        <v>9.7701927884355051</v>
      </c>
      <c r="K1020" s="1">
        <f>[1]Residential!G$22-K1022-K1023</f>
        <v>6.032551889266319</v>
      </c>
    </row>
    <row r="1021" spans="2:11" x14ac:dyDescent="0.25">
      <c r="B1021" s="5" t="str">
        <f t="shared" si="659"/>
        <v>SPS2</v>
      </c>
      <c r="C1021" s="5" t="str">
        <f t="shared" si="644"/>
        <v>CH</v>
      </c>
      <c r="D1021" t="s">
        <v>1024</v>
      </c>
      <c r="E1021" t="s">
        <v>8</v>
      </c>
      <c r="F1021" s="1">
        <f>F1022</f>
        <v>1.0409429472984342</v>
      </c>
      <c r="G1021" s="1">
        <f t="shared" ref="G1021" si="669">G1022</f>
        <v>1.1944813236734073</v>
      </c>
      <c r="H1021" s="1">
        <f t="shared" ref="H1021" si="670">H1022</f>
        <v>2.7927873232375795</v>
      </c>
      <c r="I1021" s="1">
        <f t="shared" ref="I1021" si="671">I1022</f>
        <v>2.9041954619086385</v>
      </c>
      <c r="J1021" s="1">
        <f t="shared" ref="J1021" si="672">J1022</f>
        <v>2.6609957623456983</v>
      </c>
      <c r="K1021" s="1">
        <f t="shared" ref="K1021" si="673">K1022</f>
        <v>2.1566942229621073</v>
      </c>
    </row>
    <row r="1022" spans="2:11" x14ac:dyDescent="0.25">
      <c r="B1022" s="5" t="str">
        <f t="shared" si="659"/>
        <v>SPS2</v>
      </c>
      <c r="C1022" s="5" t="str">
        <f t="shared" si="644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1.0409429472984342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1.1944813236734073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2.7927873232375795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2.9041954619086385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2.6609957623456983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2.1566942229621073</v>
      </c>
    </row>
    <row r="1023" spans="2:11" x14ac:dyDescent="0.25">
      <c r="B1023" s="5" t="str">
        <f t="shared" si="659"/>
        <v>SPS2</v>
      </c>
      <c r="C1023" s="5" t="str">
        <f t="shared" si="644"/>
        <v>CH</v>
      </c>
      <c r="D1023" t="s">
        <v>1025</v>
      </c>
      <c r="E1023" t="s">
        <v>8</v>
      </c>
      <c r="F1023" s="1">
        <f>F1024+F1026</f>
        <v>3.2682098027522617</v>
      </c>
      <c r="G1023" s="1">
        <f t="shared" ref="G1023:K1023" si="674">G1024+G1026</f>
        <v>3.8319846410433733</v>
      </c>
      <c r="H1023" s="1">
        <f t="shared" si="674"/>
        <v>0.64594726837170036</v>
      </c>
      <c r="I1023" s="1">
        <f t="shared" si="674"/>
        <v>0.96470059994355473</v>
      </c>
      <c r="J1023" s="1">
        <f t="shared" si="674"/>
        <v>1.1764322476176541</v>
      </c>
      <c r="K1023" s="1">
        <f t="shared" si="674"/>
        <v>1.0490145096492791</v>
      </c>
    </row>
    <row r="1024" spans="2:11" x14ac:dyDescent="0.25">
      <c r="B1024" s="5" t="str">
        <f t="shared" si="659"/>
        <v>SPS2</v>
      </c>
      <c r="C1024" s="5" t="str">
        <f t="shared" si="644"/>
        <v>CH</v>
      </c>
      <c r="D1024" t="s">
        <v>1026</v>
      </c>
      <c r="E1024" t="s">
        <v>8</v>
      </c>
      <c r="F1024" s="1">
        <f>F1025</f>
        <v>2.9965405739648281</v>
      </c>
      <c r="G1024" s="1">
        <f t="shared" ref="G1024:K1024" si="675">G1025</f>
        <v>3.5202463941821489</v>
      </c>
      <c r="H1024" s="1">
        <f t="shared" si="675"/>
        <v>0.47433670305205322</v>
      </c>
      <c r="I1024" s="1">
        <f t="shared" si="675"/>
        <v>0.68510186176431465</v>
      </c>
      <c r="J1024" s="1">
        <f t="shared" si="675"/>
        <v>0.79810700174232008</v>
      </c>
      <c r="K1024" s="1">
        <f t="shared" si="675"/>
        <v>0.67347183319548309</v>
      </c>
    </row>
    <row r="1025" spans="2:11" x14ac:dyDescent="0.25">
      <c r="B1025" s="5" t="str">
        <f t="shared" si="659"/>
        <v>SPS2</v>
      </c>
      <c r="C1025" s="5" t="str">
        <f t="shared" si="644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2.9965405739648281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3.5202463941821489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0.47433670305205322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0.68510186176431465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0.79810700174232008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0.67347183319548309</v>
      </c>
    </row>
    <row r="1026" spans="2:11" x14ac:dyDescent="0.25">
      <c r="B1026" s="5" t="str">
        <f t="shared" si="659"/>
        <v>SPS2</v>
      </c>
      <c r="C1026" s="5" t="str">
        <f t="shared" si="644"/>
        <v>CH</v>
      </c>
      <c r="D1026" t="s">
        <v>1027</v>
      </c>
      <c r="E1026" t="s">
        <v>8</v>
      </c>
      <c r="F1026" s="1">
        <f>F1027</f>
        <v>0.2716692287874336</v>
      </c>
      <c r="G1026" s="1">
        <f t="shared" ref="G1026:K1026" si="676">G1027</f>
        <v>0.31173824686122459</v>
      </c>
      <c r="H1026" s="1">
        <f t="shared" si="676"/>
        <v>0.17161056531964716</v>
      </c>
      <c r="I1026" s="1">
        <f t="shared" si="676"/>
        <v>0.27959873817924014</v>
      </c>
      <c r="J1026" s="1">
        <f t="shared" si="676"/>
        <v>0.37832524587533412</v>
      </c>
      <c r="K1026" s="1">
        <f t="shared" si="676"/>
        <v>0.37554267645379608</v>
      </c>
    </row>
    <row r="1027" spans="2:11" x14ac:dyDescent="0.25">
      <c r="B1027" s="5" t="str">
        <f t="shared" si="659"/>
        <v>SPS2</v>
      </c>
      <c r="C1027" s="5" t="str">
        <f t="shared" si="644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0.2716692287874336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0.31173824686122459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0.17161056531964716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0.27959873817924014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0.37832524587533412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0.37554267645379608</v>
      </c>
    </row>
    <row r="1028" spans="2:11" x14ac:dyDescent="0.25">
      <c r="B1028" s="5" t="str">
        <f t="shared" si="659"/>
        <v>SPS2</v>
      </c>
      <c r="C1028" s="5" t="str">
        <f t="shared" si="644"/>
        <v>CH</v>
      </c>
      <c r="D1028" t="s">
        <v>1028</v>
      </c>
      <c r="E1028" t="s">
        <v>8</v>
      </c>
      <c r="F1028" s="1">
        <f>[1]Residential!B$23</f>
        <v>2.5068265212906917</v>
      </c>
      <c r="G1028" s="1">
        <f>[1]Residential!C$23</f>
        <v>2.9280060131001555</v>
      </c>
      <c r="H1028" s="1">
        <f>[1]Residential!D$23</f>
        <v>0.92974273704914623</v>
      </c>
      <c r="I1028" s="1">
        <f>[1]Residential!E$23</f>
        <v>1.0806288398657515</v>
      </c>
      <c r="J1028" s="1">
        <f>[1]Residential!F$23</f>
        <v>1.2241456849873968</v>
      </c>
      <c r="K1028" s="1">
        <f>[1]Residential!G$23</f>
        <v>1.2248217758397495</v>
      </c>
    </row>
    <row r="1029" spans="2:11" x14ac:dyDescent="0.25">
      <c r="B1029" s="5" t="str">
        <f t="shared" si="659"/>
        <v>SPS2</v>
      </c>
      <c r="C1029" s="5" t="str">
        <f t="shared" si="644"/>
        <v>CH</v>
      </c>
      <c r="D1029" t="s">
        <v>1029</v>
      </c>
      <c r="E1029" t="s">
        <v>8</v>
      </c>
      <c r="F1029" s="1">
        <f>F1030</f>
        <v>0.78533849663084077</v>
      </c>
      <c r="G1029" s="1">
        <f t="shared" ref="G1029:K1029" si="677">G1030</f>
        <v>0.94128057904701135</v>
      </c>
      <c r="H1029" s="1">
        <f t="shared" si="677"/>
        <v>3.009179911304382E-2</v>
      </c>
      <c r="I1029" s="1">
        <f t="shared" si="677"/>
        <v>3.3799893805658017E-2</v>
      </c>
      <c r="J1029" s="1">
        <f t="shared" si="677"/>
        <v>3.2338580219710825E-2</v>
      </c>
      <c r="K1029" s="1">
        <f t="shared" si="677"/>
        <v>2.8895692519828278E-2</v>
      </c>
    </row>
    <row r="1030" spans="2:11" x14ac:dyDescent="0.25">
      <c r="B1030" s="5" t="str">
        <f t="shared" si="659"/>
        <v>SPS2</v>
      </c>
      <c r="C1030" s="5" t="str">
        <f t="shared" si="644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0.78533849663084077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0.94128057904701135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3.009179911304382E-2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3.3799893805658017E-2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3.2338580219710825E-2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2.8895692519828278E-2</v>
      </c>
    </row>
    <row r="1031" spans="2:11" x14ac:dyDescent="0.25">
      <c r="B1031" s="5" t="str">
        <f t="shared" si="659"/>
        <v>SPS2</v>
      </c>
      <c r="C1031" s="5" t="str">
        <f t="shared" si="644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678">G1028-G1029</f>
        <v>1.9867254340531442</v>
      </c>
      <c r="H1031" s="1">
        <f t="shared" si="678"/>
        <v>0.8996509379361024</v>
      </c>
      <c r="I1031" s="1">
        <f t="shared" si="678"/>
        <v>1.0468289460600935</v>
      </c>
      <c r="J1031" s="1">
        <f t="shared" si="678"/>
        <v>1.1918071047676859</v>
      </c>
      <c r="K1031" s="1">
        <f t="shared" si="678"/>
        <v>1.1959260833199212</v>
      </c>
    </row>
    <row r="1032" spans="2:11" x14ac:dyDescent="0.25">
      <c r="B1032" s="5" t="str">
        <f t="shared" si="659"/>
        <v>SPS2</v>
      </c>
      <c r="C1032" s="5" t="str">
        <f t="shared" si="644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679">G1031</f>
        <v>1.9867254340531442</v>
      </c>
      <c r="H1032" s="1">
        <f t="shared" si="679"/>
        <v>0.8996509379361024</v>
      </c>
      <c r="I1032" s="1">
        <f t="shared" si="679"/>
        <v>1.0468289460600935</v>
      </c>
      <c r="J1032" s="1">
        <f t="shared" si="679"/>
        <v>1.1918071047676859</v>
      </c>
      <c r="K1032" s="1">
        <f t="shared" si="679"/>
        <v>1.1959260833199212</v>
      </c>
    </row>
    <row r="1033" spans="2:11" x14ac:dyDescent="0.25">
      <c r="B1033" s="5" t="str">
        <f t="shared" si="659"/>
        <v>SPS2</v>
      </c>
      <c r="C1033" s="5" t="str">
        <f t="shared" si="644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1.5327256206505773E-2</v>
      </c>
      <c r="I1033" s="1">
        <f>[1]Residential!E$24</f>
        <v>1.1613845601921249</v>
      </c>
      <c r="J1033" s="1">
        <f>[1]Residential!F$24</f>
        <v>7.3313588026844331E-2</v>
      </c>
      <c r="K1033" s="1">
        <f>[1]Residential!G$24</f>
        <v>0.39626400765181435</v>
      </c>
    </row>
    <row r="1034" spans="2:11" x14ac:dyDescent="0.25">
      <c r="B1034" s="5" t="str">
        <f t="shared" si="659"/>
        <v>SPS2</v>
      </c>
      <c r="C1034" s="5" t="str">
        <f t="shared" si="644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680">G1033-G1036-G1038</f>
        <v>0</v>
      </c>
      <c r="H1034" s="1">
        <f t="shared" si="680"/>
        <v>1.5327256206505773E-2</v>
      </c>
      <c r="I1034" s="1">
        <f t="shared" si="680"/>
        <v>1.1613845601921249</v>
      </c>
      <c r="J1034" s="1">
        <f t="shared" si="680"/>
        <v>7.3313588026844331E-2</v>
      </c>
      <c r="K1034" s="1">
        <f t="shared" si="680"/>
        <v>0.39626400765181435</v>
      </c>
    </row>
    <row r="1035" spans="2:11" x14ac:dyDescent="0.25">
      <c r="B1035" s="5" t="str">
        <f t="shared" si="659"/>
        <v>SPS2</v>
      </c>
      <c r="C1035" s="5" t="str">
        <f t="shared" si="644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681">G1036+G1038</f>
        <v>0</v>
      </c>
      <c r="H1035" s="1">
        <f t="shared" si="681"/>
        <v>0</v>
      </c>
      <c r="I1035" s="1">
        <f t="shared" si="681"/>
        <v>0</v>
      </c>
      <c r="J1035" s="1">
        <f t="shared" si="681"/>
        <v>0</v>
      </c>
      <c r="K1035" s="1">
        <f t="shared" si="681"/>
        <v>0</v>
      </c>
    </row>
    <row r="1036" spans="2:11" x14ac:dyDescent="0.25">
      <c r="B1036" s="5" t="str">
        <f t="shared" si="659"/>
        <v>SPS2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682">G1037</f>
        <v>0</v>
      </c>
      <c r="H1036" s="1">
        <f t="shared" si="682"/>
        <v>0</v>
      </c>
      <c r="I1036" s="1">
        <f t="shared" si="682"/>
        <v>0</v>
      </c>
      <c r="J1036" s="1">
        <f t="shared" si="682"/>
        <v>0</v>
      </c>
      <c r="K1036" s="1">
        <f t="shared" si="682"/>
        <v>0</v>
      </c>
    </row>
    <row r="1037" spans="2:11" x14ac:dyDescent="0.25">
      <c r="B1037" s="5" t="str">
        <f t="shared" si="659"/>
        <v>SPS2</v>
      </c>
      <c r="C1037" s="5" t="str">
        <f t="shared" si="644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59"/>
        <v>SPS2</v>
      </c>
      <c r="C1038" s="5" t="str">
        <f t="shared" si="644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683">G1039</f>
        <v>0</v>
      </c>
      <c r="H1038" s="1">
        <f t="shared" si="683"/>
        <v>0</v>
      </c>
      <c r="I1038" s="1">
        <f t="shared" si="683"/>
        <v>0</v>
      </c>
      <c r="J1038" s="1">
        <f t="shared" si="683"/>
        <v>0</v>
      </c>
      <c r="K1038" s="1">
        <f t="shared" si="683"/>
        <v>0</v>
      </c>
    </row>
    <row r="1039" spans="2:11" x14ac:dyDescent="0.25">
      <c r="B1039" s="5" t="str">
        <f t="shared" si="659"/>
        <v>SPS2</v>
      </c>
      <c r="C1039" s="5" t="str">
        <f t="shared" si="644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59"/>
        <v>SPS2</v>
      </c>
      <c r="C1040" s="5" t="str">
        <f t="shared" si="644"/>
        <v>CH</v>
      </c>
      <c r="D1040" t="s">
        <v>1035</v>
      </c>
      <c r="E1040" t="s">
        <v>8</v>
      </c>
      <c r="F1040" s="1">
        <f>[1]Residential!B$21</f>
        <v>8.4082924617096175</v>
      </c>
      <c r="G1040" s="1">
        <f>[1]Residential!C$21</f>
        <v>9.6753784374728049</v>
      </c>
      <c r="H1040" s="1">
        <f>[1]Residential!D$21</f>
        <v>8.6836177073239789</v>
      </c>
      <c r="I1040" s="1">
        <f>[1]Residential!E$21</f>
        <v>11.385497483391241</v>
      </c>
      <c r="J1040" s="1">
        <f>[1]Residential!F$21</f>
        <v>12.67384171222651</v>
      </c>
      <c r="K1040" s="1">
        <f>[1]Residential!G$21</f>
        <v>12.183202131020225</v>
      </c>
    </row>
    <row r="1041" spans="2:13" x14ac:dyDescent="0.25">
      <c r="B1041" s="5" t="str">
        <f t="shared" si="659"/>
        <v>SPS2</v>
      </c>
      <c r="C1041" s="5" t="str">
        <f t="shared" si="644"/>
        <v>CH</v>
      </c>
      <c r="D1041" t="s">
        <v>1036</v>
      </c>
      <c r="E1041" t="s">
        <v>8</v>
      </c>
      <c r="F1041" s="1">
        <f>SUM(F1042:F1044)</f>
        <v>0.38869742068374669</v>
      </c>
      <c r="G1041" s="1">
        <f t="shared" ref="G1041:K1041" si="684">SUM(G1042:G1044)</f>
        <v>1.1214547096978776E-2</v>
      </c>
      <c r="H1041" s="1">
        <f t="shared" si="684"/>
        <v>3.4904807063191601E-2</v>
      </c>
      <c r="I1041" s="1">
        <f t="shared" si="684"/>
        <v>2.4971458886269556E-2</v>
      </c>
      <c r="J1041" s="1">
        <f t="shared" si="684"/>
        <v>0.5046966916054324</v>
      </c>
      <c r="K1041" s="1">
        <f t="shared" si="684"/>
        <v>1.891984154350659E-2</v>
      </c>
    </row>
    <row r="1042" spans="2:13" x14ac:dyDescent="0.25">
      <c r="B1042" s="5" t="str">
        <f t="shared" si="659"/>
        <v>SPS2</v>
      </c>
      <c r="C1042" s="5" t="str">
        <f t="shared" si="644"/>
        <v>CH</v>
      </c>
      <c r="D1042" t="s">
        <v>749</v>
      </c>
      <c r="E1042" t="s">
        <v>8</v>
      </c>
      <c r="F1042" s="1">
        <f t="shared" ref="F1042:K1043" si="685">SUM(F242,F244)</f>
        <v>0.38842974096980498</v>
      </c>
      <c r="G1042" s="1">
        <f t="shared" si="685"/>
        <v>1.0907219131627139E-2</v>
      </c>
      <c r="H1042" s="1">
        <f t="shared" si="685"/>
        <v>3.4775648959404985E-2</v>
      </c>
      <c r="I1042" s="1">
        <f t="shared" si="685"/>
        <v>1.1231845626128705E-2</v>
      </c>
      <c r="J1042" s="1">
        <f t="shared" si="685"/>
        <v>0.47969323632199329</v>
      </c>
      <c r="K1042" s="1">
        <f t="shared" si="685"/>
        <v>8.3004710381227344E-3</v>
      </c>
    </row>
    <row r="1043" spans="2:13" x14ac:dyDescent="0.25">
      <c r="B1043" s="5" t="str">
        <f t="shared" si="659"/>
        <v>SPS2</v>
      </c>
      <c r="C1043" s="5" t="str">
        <f t="shared" si="644"/>
        <v>CH</v>
      </c>
      <c r="D1043" t="s">
        <v>750</v>
      </c>
      <c r="E1043" t="s">
        <v>8</v>
      </c>
      <c r="F1043" s="1">
        <f t="shared" si="685"/>
        <v>0</v>
      </c>
      <c r="G1043" s="1">
        <f t="shared" si="685"/>
        <v>0</v>
      </c>
      <c r="H1043" s="1">
        <f t="shared" si="685"/>
        <v>0</v>
      </c>
      <c r="I1043" s="1">
        <f t="shared" si="685"/>
        <v>0</v>
      </c>
      <c r="J1043" s="1">
        <f t="shared" si="685"/>
        <v>0</v>
      </c>
      <c r="K1043" s="1">
        <f t="shared" si="685"/>
        <v>0</v>
      </c>
    </row>
    <row r="1044" spans="2:13" x14ac:dyDescent="0.25">
      <c r="B1044" s="5" t="str">
        <f t="shared" si="659"/>
        <v>SPS2</v>
      </c>
      <c r="C1044" s="5" t="str">
        <f t="shared" si="644"/>
        <v>CH</v>
      </c>
      <c r="D1044" t="s">
        <v>751</v>
      </c>
      <c r="E1044" t="s">
        <v>8</v>
      </c>
      <c r="F1044" s="1">
        <f t="shared" ref="F1044:K1044" si="686">SUM(F283,F284)</f>
        <v>2.6767971394170041E-4</v>
      </c>
      <c r="G1044" s="1">
        <f t="shared" si="686"/>
        <v>3.0732796535163737E-4</v>
      </c>
      <c r="H1044" s="1">
        <f t="shared" si="686"/>
        <v>1.2915810378661611E-4</v>
      </c>
      <c r="I1044" s="1">
        <f t="shared" si="686"/>
        <v>1.3739613260140851E-2</v>
      </c>
      <c r="J1044" s="1">
        <f t="shared" si="686"/>
        <v>2.5003455283439089E-2</v>
      </c>
      <c r="K1044" s="1">
        <f t="shared" si="686"/>
        <v>1.0619370505383856E-2</v>
      </c>
    </row>
    <row r="1045" spans="2:13" x14ac:dyDescent="0.25">
      <c r="B1045" s="5" t="str">
        <f t="shared" si="659"/>
        <v>SPS2</v>
      </c>
      <c r="C1045" s="5" t="str">
        <f t="shared" si="644"/>
        <v>CH</v>
      </c>
      <c r="D1045" t="s">
        <v>1037</v>
      </c>
      <c r="E1045" t="s">
        <v>8</v>
      </c>
      <c r="F1045" s="1">
        <f>F1040-F1041</f>
        <v>8.0195950410258714</v>
      </c>
      <c r="G1045" s="1">
        <f t="shared" ref="G1045:K1045" si="687">G1040-G1041</f>
        <v>9.6641638903758267</v>
      </c>
      <c r="H1045" s="1">
        <f t="shared" si="687"/>
        <v>8.6487129002607865</v>
      </c>
      <c r="I1045" s="1">
        <f t="shared" si="687"/>
        <v>11.360526024504971</v>
      </c>
      <c r="J1045" s="1">
        <f t="shared" si="687"/>
        <v>12.169145020621079</v>
      </c>
      <c r="K1045" s="1">
        <f t="shared" si="687"/>
        <v>12.164282289476718</v>
      </c>
    </row>
    <row r="1046" spans="2:13" x14ac:dyDescent="0.25">
      <c r="B1046" s="5" t="str">
        <f t="shared" si="659"/>
        <v>SPS2</v>
      </c>
      <c r="C1046" s="5" t="str">
        <f t="shared" si="644"/>
        <v>CH</v>
      </c>
      <c r="D1046" t="s">
        <v>1038</v>
      </c>
      <c r="E1046" t="s">
        <v>8</v>
      </c>
      <c r="F1046" s="1">
        <f>[1]Residential!B$25</f>
        <v>15.194983029473594</v>
      </c>
      <c r="G1046" s="1">
        <f>[1]Residential!C$25</f>
        <v>17.636033972114557</v>
      </c>
      <c r="H1046" s="1">
        <f>[1]Residential!D$25</f>
        <v>25.66361370519186</v>
      </c>
      <c r="I1046" s="1">
        <f>[1]Residential!E$25</f>
        <v>40.252038232254968</v>
      </c>
      <c r="J1046" s="1">
        <f>[1]Residential!F$25</f>
        <v>59.498982329292872</v>
      </c>
      <c r="K1046" s="1">
        <f>[1]Residential!G$25</f>
        <v>64.336556164777789</v>
      </c>
    </row>
    <row r="1047" spans="2:13" x14ac:dyDescent="0.25">
      <c r="B1047" s="5" t="str">
        <f t="shared" si="659"/>
        <v>SPS2</v>
      </c>
      <c r="C1047" s="5" t="str">
        <f t="shared" si="644"/>
        <v>CH</v>
      </c>
      <c r="D1047" t="s">
        <v>1039</v>
      </c>
      <c r="E1047" t="s">
        <v>8</v>
      </c>
      <c r="F1047" s="1">
        <f>F1046-F1050</f>
        <v>13.103985337062497</v>
      </c>
      <c r="G1047" s="1">
        <f t="shared" ref="G1047:K1047" si="688">G1046-G1050</f>
        <v>15.287007116548335</v>
      </c>
      <c r="H1047" s="1">
        <f t="shared" si="688"/>
        <v>22.905226766463272</v>
      </c>
      <c r="I1047" s="1">
        <f t="shared" si="688"/>
        <v>34.618303445970142</v>
      </c>
      <c r="J1047" s="1">
        <f t="shared" si="688"/>
        <v>48.673860583323837</v>
      </c>
      <c r="K1047" s="1">
        <f t="shared" si="688"/>
        <v>50.36285902752396</v>
      </c>
      <c r="M1047" s="1"/>
    </row>
    <row r="1048" spans="2:13" x14ac:dyDescent="0.25">
      <c r="B1048" s="5" t="str">
        <f t="shared" si="659"/>
        <v>SPS2</v>
      </c>
      <c r="C1048" s="5" t="str">
        <f t="shared" si="644"/>
        <v>CH</v>
      </c>
      <c r="D1048" t="s">
        <v>752</v>
      </c>
      <c r="E1048" t="s">
        <v>8</v>
      </c>
      <c r="F1048" s="1">
        <f>F1047-F1049</f>
        <v>13.103985337062497</v>
      </c>
      <c r="G1048" s="1">
        <f t="shared" ref="G1048:K1048" si="689">G1047-G1049</f>
        <v>15.287007116548335</v>
      </c>
      <c r="H1048" s="1">
        <f t="shared" si="689"/>
        <v>20.624000422387439</v>
      </c>
      <c r="I1048" s="1">
        <f t="shared" si="689"/>
        <v>27.919468652746058</v>
      </c>
      <c r="J1048" s="1">
        <f t="shared" si="689"/>
        <v>38.724648029299672</v>
      </c>
      <c r="K1048" s="1">
        <f t="shared" si="689"/>
        <v>40.602336520270406</v>
      </c>
    </row>
    <row r="1049" spans="2:13" x14ac:dyDescent="0.25">
      <c r="B1049" s="5" t="str">
        <f t="shared" si="659"/>
        <v>SPS2</v>
      </c>
      <c r="C1049" s="5" t="str">
        <f t="shared" si="644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2.2812263440758316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6.6988347932240844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9.9492125540241645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9.7605225072535546</v>
      </c>
      <c r="M1049" s="20"/>
    </row>
    <row r="1050" spans="2:13" x14ac:dyDescent="0.25">
      <c r="B1050" s="5" t="str">
        <f t="shared" si="659"/>
        <v>SPS2</v>
      </c>
      <c r="C1050" s="5" t="str">
        <f t="shared" si="644"/>
        <v>CH</v>
      </c>
      <c r="D1050" t="s">
        <v>1040</v>
      </c>
      <c r="E1050" t="s">
        <v>8</v>
      </c>
      <c r="F1050" s="1">
        <f>SUM(F1051:F1052)</f>
        <v>2.0909976924110962</v>
      </c>
      <c r="G1050" s="1">
        <f t="shared" ref="G1050:K1050" si="690">SUM(G1051:G1052)</f>
        <v>2.3490268555662226</v>
      </c>
      <c r="H1050" s="1">
        <f t="shared" si="690"/>
        <v>2.7583869387285889</v>
      </c>
      <c r="I1050" s="1">
        <f t="shared" si="690"/>
        <v>5.6337347862848226</v>
      </c>
      <c r="J1050" s="1">
        <f t="shared" si="690"/>
        <v>10.825121745969035</v>
      </c>
      <c r="K1050" s="1">
        <f t="shared" si="690"/>
        <v>13.973697137253829</v>
      </c>
    </row>
    <row r="1051" spans="2:13" x14ac:dyDescent="0.25">
      <c r="B1051" s="5" t="str">
        <f t="shared" si="659"/>
        <v>SPS2</v>
      </c>
      <c r="C1051" s="5" t="str">
        <f t="shared" si="644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2.0909976924110962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2.3490268555662226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2.2366710342620801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3.7687683012679667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7.2269960099177677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9.5515268072664341</v>
      </c>
    </row>
    <row r="1052" spans="2:13" x14ac:dyDescent="0.25">
      <c r="B1052" s="5" t="str">
        <f t="shared" si="659"/>
        <v>SPS2</v>
      </c>
      <c r="C1052" s="5" t="str">
        <f t="shared" si="644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0.52171590446650851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1.8649664850168564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3.5981257360512684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4.422170329987396</v>
      </c>
    </row>
    <row r="1053" spans="2:13" x14ac:dyDescent="0.25">
      <c r="B1053" s="5" t="str">
        <f t="shared" si="659"/>
        <v>SPS2</v>
      </c>
      <c r="C1053" s="5" t="str">
        <f t="shared" si="644"/>
        <v>CH</v>
      </c>
      <c r="D1053" s="2" t="s">
        <v>756</v>
      </c>
      <c r="E1053" t="s">
        <v>8</v>
      </c>
      <c r="F1053" s="3">
        <f>[1]Residential!B$245</f>
        <v>156.01319707360017</v>
      </c>
      <c r="G1053" s="3">
        <f>[1]Residential!C$245</f>
        <v>162.34110447843821</v>
      </c>
      <c r="H1053" s="3">
        <f>[1]Residential!D$245</f>
        <v>144.97538358409463</v>
      </c>
      <c r="I1053" s="3">
        <f>[1]Residential!E$245</f>
        <v>145.06062640722158</v>
      </c>
      <c r="J1053" s="3">
        <f>[1]Residential!F$245</f>
        <v>146.21206090622053</v>
      </c>
      <c r="K1053" s="3">
        <f>[1]Residential!G$245</f>
        <v>145.92277453361044</v>
      </c>
    </row>
    <row r="1054" spans="2:13" x14ac:dyDescent="0.25">
      <c r="B1054" s="5" t="str">
        <f t="shared" si="659"/>
        <v>SPS2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129.03488466018402</v>
      </c>
      <c r="G1054" s="1">
        <f>[1]Residential!C$116</f>
        <v>136.41070946046085</v>
      </c>
      <c r="H1054" s="1">
        <f>[1]Residential!D$116</f>
        <v>123.74949288499565</v>
      </c>
      <c r="I1054" s="1">
        <f>[1]Residential!E$116</f>
        <v>122.97734169601051</v>
      </c>
      <c r="J1054" s="1">
        <f>[1]Residential!F$116</f>
        <v>119.54318116548133</v>
      </c>
      <c r="K1054" s="1">
        <f>[1]Residential!G$116</f>
        <v>117.52100703207199</v>
      </c>
    </row>
    <row r="1055" spans="2:13" x14ac:dyDescent="0.25">
      <c r="B1055" s="5" t="str">
        <f t="shared" si="659"/>
        <v>SPS2</v>
      </c>
      <c r="C1055" s="5" t="str">
        <f t="shared" ref="C1055:C1105" si="691">C1054</f>
        <v>CH</v>
      </c>
      <c r="D1055" t="s">
        <v>1116</v>
      </c>
      <c r="E1055" t="s">
        <v>8</v>
      </c>
      <c r="F1055" s="1">
        <f>SUM(F1056:F1057)</f>
        <v>27.968351908264111</v>
      </c>
      <c r="G1055" s="1">
        <f t="shared" ref="G1055:K1055" si="692">SUM(G1056:G1057)</f>
        <v>28.673868870149011</v>
      </c>
      <c r="H1055" s="1">
        <f t="shared" si="692"/>
        <v>31.808157739931524</v>
      </c>
      <c r="I1055" s="1">
        <f t="shared" si="692"/>
        <v>40.506471496560636</v>
      </c>
      <c r="J1055" s="1">
        <f t="shared" si="692"/>
        <v>53.204833328250018</v>
      </c>
      <c r="K1055" s="1">
        <f t="shared" si="692"/>
        <v>53.752059162563725</v>
      </c>
    </row>
    <row r="1056" spans="2:13" x14ac:dyDescent="0.25">
      <c r="B1056" s="5" t="str">
        <f t="shared" si="659"/>
        <v>SPS2</v>
      </c>
      <c r="C1056" s="5" t="str">
        <f t="shared" si="691"/>
        <v>CH</v>
      </c>
      <c r="D1056" t="s">
        <v>1117</v>
      </c>
      <c r="E1056" t="s">
        <v>8</v>
      </c>
      <c r="F1056" s="1">
        <f>[1]Residential!B$102</f>
        <v>8.9080097057734573</v>
      </c>
      <c r="G1056" s="1">
        <f>[1]Residential!C$102</f>
        <v>6.6026870665618453</v>
      </c>
      <c r="H1056" s="1">
        <f>[1]Residential!D$102</f>
        <v>0.81178184232863593</v>
      </c>
      <c r="I1056" s="1">
        <f>[1]Residential!E$102</f>
        <v>0.20420790743374562</v>
      </c>
      <c r="J1056" s="1">
        <f>[1]Residential!F$102</f>
        <v>1.5476153937457061E-2</v>
      </c>
      <c r="K1056" s="1">
        <f>[1]Residential!G$102</f>
        <v>1.3824589572568857E-2</v>
      </c>
    </row>
    <row r="1057" spans="2:11" x14ac:dyDescent="0.25">
      <c r="B1057" s="5" t="str">
        <f t="shared" si="659"/>
        <v>SPS2</v>
      </c>
      <c r="C1057" s="5" t="str">
        <f t="shared" si="691"/>
        <v>CH</v>
      </c>
      <c r="D1057" t="s">
        <v>1118</v>
      </c>
      <c r="E1057" t="s">
        <v>8</v>
      </c>
      <c r="F1057" s="1">
        <f>[1]Residential!B$104</f>
        <v>19.060342202490652</v>
      </c>
      <c r="G1057" s="1">
        <f>[1]Residential!C$104</f>
        <v>22.071181803587166</v>
      </c>
      <c r="H1057" s="1">
        <f>[1]Residential!D$104</f>
        <v>30.996375897602888</v>
      </c>
      <c r="I1057" s="1">
        <f>[1]Residential!E$104</f>
        <v>40.302263589126888</v>
      </c>
      <c r="J1057" s="1">
        <f>[1]Residential!F$104</f>
        <v>53.189357174312562</v>
      </c>
      <c r="K1057" s="1">
        <f>[1]Residential!G$104</f>
        <v>53.738234572991153</v>
      </c>
    </row>
    <row r="1058" spans="2:11" x14ac:dyDescent="0.25">
      <c r="B1058" s="5" t="str">
        <f t="shared" si="659"/>
        <v>SPS2</v>
      </c>
      <c r="C1058" s="5" t="str">
        <f t="shared" si="691"/>
        <v>CH</v>
      </c>
      <c r="D1058" t="s">
        <v>1047</v>
      </c>
      <c r="E1058" t="s">
        <v>8</v>
      </c>
      <c r="F1058" s="1">
        <f>F1059</f>
        <v>45.124393381115368</v>
      </c>
      <c r="G1058" s="1">
        <f t="shared" ref="G1058:K1058" si="693">G1059</f>
        <v>39.025431443865401</v>
      </c>
      <c r="H1058" s="1">
        <f t="shared" si="693"/>
        <v>33.114497063861265</v>
      </c>
      <c r="I1058" s="1">
        <f t="shared" si="693"/>
        <v>17.047219251899133</v>
      </c>
      <c r="J1058" s="1">
        <f t="shared" si="693"/>
        <v>3.7660433820976253</v>
      </c>
      <c r="K1058" s="1">
        <f t="shared" si="693"/>
        <v>0.24121827558968489</v>
      </c>
    </row>
    <row r="1059" spans="2:11" x14ac:dyDescent="0.25">
      <c r="B1059" s="5" t="str">
        <f t="shared" si="659"/>
        <v>SPS2</v>
      </c>
      <c r="C1059" s="5" t="str">
        <f t="shared" si="691"/>
        <v>CH</v>
      </c>
      <c r="D1059" t="s">
        <v>1048</v>
      </c>
      <c r="E1059" t="s">
        <v>8</v>
      </c>
      <c r="F1059" s="1">
        <f>[1]Residential!B$105</f>
        <v>45.124393381115368</v>
      </c>
      <c r="G1059" s="1">
        <f>[1]Residential!C$105</f>
        <v>39.025431443865401</v>
      </c>
      <c r="H1059" s="1">
        <f>[1]Residential!D$105</f>
        <v>33.114497063861265</v>
      </c>
      <c r="I1059" s="1">
        <f>[1]Residential!E$105</f>
        <v>17.047219251899133</v>
      </c>
      <c r="J1059" s="1">
        <f>[1]Residential!F$105</f>
        <v>3.7660433820976253</v>
      </c>
      <c r="K1059" s="1">
        <f>[1]Residential!G$105</f>
        <v>0.24121827558968489</v>
      </c>
    </row>
    <row r="1060" spans="2:11" x14ac:dyDescent="0.25">
      <c r="B1060" s="5" t="str">
        <f t="shared" si="659"/>
        <v>SPS2</v>
      </c>
      <c r="C1060" s="5" t="str">
        <f t="shared" si="691"/>
        <v>CH</v>
      </c>
      <c r="D1060" t="s">
        <v>1049</v>
      </c>
      <c r="E1060" t="s">
        <v>8</v>
      </c>
      <c r="F1060" s="1">
        <f>SUM(F1061:F1062)</f>
        <v>36.569923069151031</v>
      </c>
      <c r="G1060" s="1">
        <f t="shared" ref="G1060:K1060" si="694">SUM(G1061:G1062)</f>
        <v>38.871966262504664</v>
      </c>
      <c r="H1060" s="1">
        <f t="shared" si="694"/>
        <v>36.516039216904055</v>
      </c>
      <c r="I1060" s="1">
        <f t="shared" si="694"/>
        <v>36.820422484088645</v>
      </c>
      <c r="J1060" s="1">
        <f t="shared" si="694"/>
        <v>26.465749803750445</v>
      </c>
      <c r="K1060" s="1">
        <f t="shared" si="694"/>
        <v>20.992597651779448</v>
      </c>
    </row>
    <row r="1061" spans="2:11" x14ac:dyDescent="0.25">
      <c r="B1061" s="5" t="str">
        <f t="shared" si="659"/>
        <v>SPS2</v>
      </c>
      <c r="C1061" s="5" t="str">
        <f t="shared" si="691"/>
        <v>CH</v>
      </c>
      <c r="D1061" t="s">
        <v>1050</v>
      </c>
      <c r="E1061" t="s">
        <v>8</v>
      </c>
      <c r="F1061" s="1">
        <f>[1]Residential!B$106</f>
        <v>36.569923069151031</v>
      </c>
      <c r="G1061" s="1">
        <f>[1]Residential!C$106</f>
        <v>38.871966262504664</v>
      </c>
      <c r="H1061" s="1">
        <f>[1]Residential!D$106</f>
        <v>31.618399704062792</v>
      </c>
      <c r="I1061" s="1">
        <f>[1]Residential!E$106</f>
        <v>23.033788523392897</v>
      </c>
      <c r="J1061" s="1">
        <f>[1]Residential!F$106</f>
        <v>6.5549484186897553</v>
      </c>
      <c r="K1061" s="1">
        <f>[1]Residential!G$106</f>
        <v>2.4572630912545104</v>
      </c>
    </row>
    <row r="1062" spans="2:11" x14ac:dyDescent="0.25">
      <c r="B1062" s="5" t="str">
        <f t="shared" si="659"/>
        <v>SPS2</v>
      </c>
      <c r="C1062" s="5" t="str">
        <f t="shared" si="691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4.8976395128412635</v>
      </c>
      <c r="I1062" s="1">
        <f>[1]Residential!E$107</f>
        <v>13.786633960695747</v>
      </c>
      <c r="J1062" s="1">
        <f>[1]Residential!F$107</f>
        <v>19.91080138506069</v>
      </c>
      <c r="K1062" s="1">
        <f>[1]Residential!G$107</f>
        <v>18.535334560524937</v>
      </c>
    </row>
    <row r="1063" spans="2:11" x14ac:dyDescent="0.25">
      <c r="B1063" s="5" t="str">
        <f t="shared" si="659"/>
        <v>SPS2</v>
      </c>
      <c r="C1063" s="5" t="str">
        <f t="shared" si="691"/>
        <v>CH</v>
      </c>
      <c r="D1063" t="s">
        <v>1052</v>
      </c>
      <c r="E1063" t="s">
        <v>8</v>
      </c>
      <c r="F1063" s="1">
        <f>F1064</f>
        <v>7.200044025136941E-2</v>
      </c>
      <c r="G1063" s="1">
        <f t="shared" ref="G1063:K1063" si="695">G1064</f>
        <v>7.1999801383078724E-2</v>
      </c>
      <c r="H1063" s="1">
        <f t="shared" si="695"/>
        <v>2.1220623355085004E-2</v>
      </c>
      <c r="I1063" s="1">
        <f t="shared" si="695"/>
        <v>1.7984174173806333E-4</v>
      </c>
      <c r="J1063" s="1">
        <f t="shared" si="695"/>
        <v>0</v>
      </c>
      <c r="K1063" s="1">
        <f t="shared" si="695"/>
        <v>0</v>
      </c>
    </row>
    <row r="1064" spans="2:11" x14ac:dyDescent="0.25">
      <c r="B1064" s="5" t="str">
        <f t="shared" si="659"/>
        <v>SPS2</v>
      </c>
      <c r="C1064" s="5" t="str">
        <f t="shared" si="691"/>
        <v>CH</v>
      </c>
      <c r="D1064" t="s">
        <v>1053</v>
      </c>
      <c r="E1064" t="s">
        <v>8</v>
      </c>
      <c r="F1064" s="1">
        <f>[1]Residential!B$108</f>
        <v>7.200044025136941E-2</v>
      </c>
      <c r="G1064" s="1">
        <f>[1]Residential!C$108</f>
        <v>7.1999801383078724E-2</v>
      </c>
      <c r="H1064" s="1">
        <f>[1]Residential!D$108</f>
        <v>2.1220623355085004E-2</v>
      </c>
      <c r="I1064" s="1">
        <f>[1]Residential!E$108</f>
        <v>1.7984174173806333E-4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659"/>
        <v>SPS2</v>
      </c>
      <c r="C1065" s="5" t="str">
        <f t="shared" si="691"/>
        <v>CH</v>
      </c>
      <c r="D1065" t="s">
        <v>1054</v>
      </c>
      <c r="E1065" t="s">
        <v>8</v>
      </c>
      <c r="F1065" s="1">
        <f>SUM([1]Residential!B$109:B$110)</f>
        <v>6.6308617034192938</v>
      </c>
      <c r="G1065" s="1">
        <f>SUM([1]Residential!C$109:C$110)</f>
        <v>7.7020140064866247</v>
      </c>
      <c r="H1065" s="1">
        <f>SUM([1]Residential!D$109:D$110)</f>
        <v>6.0597818099630105</v>
      </c>
      <c r="I1065" s="1">
        <f>SUM([1]Residential!E$109:E$110)</f>
        <v>7.7073246099754371</v>
      </c>
      <c r="J1065" s="1">
        <f>SUM([1]Residential!F$109:F$110)</f>
        <v>8.2660691951899068</v>
      </c>
      <c r="K1065" s="1">
        <f>SUM([1]Residential!G$109:G$110)</f>
        <v>7.6602125163084471</v>
      </c>
    </row>
    <row r="1066" spans="2:11" x14ac:dyDescent="0.25">
      <c r="B1066" s="5" t="str">
        <f t="shared" si="659"/>
        <v>SPS2</v>
      </c>
      <c r="C1066" s="5" t="str">
        <f t="shared" si="691"/>
        <v>CH</v>
      </c>
      <c r="D1066" t="s">
        <v>1055</v>
      </c>
      <c r="E1066" t="s">
        <v>8</v>
      </c>
      <c r="F1066" s="1">
        <f>[1]Residential!B$109</f>
        <v>8.1989253690357505E-2</v>
      </c>
      <c r="G1066" s="1">
        <f>[1]Residential!C$109</f>
        <v>8.9794271017617708E-3</v>
      </c>
      <c r="H1066" s="1">
        <f>[1]Residential!D$109</f>
        <v>0</v>
      </c>
      <c r="I1066" s="1">
        <f>[1]Residential!E$109</f>
        <v>0</v>
      </c>
      <c r="J1066" s="1">
        <f>[1]Residential!F$109</f>
        <v>0</v>
      </c>
      <c r="K1066" s="1">
        <f>[1]Residential!G$109</f>
        <v>0</v>
      </c>
    </row>
    <row r="1067" spans="2:11" x14ac:dyDescent="0.25">
      <c r="B1067" s="5" t="str">
        <f t="shared" si="659"/>
        <v>SPS2</v>
      </c>
      <c r="C1067" s="5" t="str">
        <f t="shared" si="691"/>
        <v>CH</v>
      </c>
      <c r="D1067" t="s">
        <v>1056</v>
      </c>
      <c r="E1067" t="s">
        <v>8</v>
      </c>
      <c r="F1067" s="1">
        <f>IFERROR(F$1066/F$1041,0)*F1042</f>
        <v>8.193279110839459E-2</v>
      </c>
      <c r="G1067" s="1">
        <f t="shared" ref="G1067:K1067" si="696">IFERROR(G$1066/G$1041,0)*G1042</f>
        <v>8.7333512649630431E-3</v>
      </c>
      <c r="H1067" s="1">
        <f t="shared" si="696"/>
        <v>0</v>
      </c>
      <c r="I1067" s="1">
        <f t="shared" si="696"/>
        <v>0</v>
      </c>
      <c r="J1067" s="1">
        <f t="shared" si="696"/>
        <v>0</v>
      </c>
      <c r="K1067" s="1">
        <f t="shared" si="696"/>
        <v>0</v>
      </c>
    </row>
    <row r="1068" spans="2:11" x14ac:dyDescent="0.25">
      <c r="B1068" s="5" t="str">
        <f t="shared" si="659"/>
        <v>SPS2</v>
      </c>
      <c r="C1068" s="5" t="str">
        <f t="shared" si="691"/>
        <v>CH</v>
      </c>
      <c r="D1068" t="s">
        <v>1057</v>
      </c>
      <c r="E1068" t="s">
        <v>8</v>
      </c>
      <c r="F1068" s="1">
        <f t="shared" ref="F1068:K1068" si="697">IFERROR(F$1066/F$1041,0)*F1043</f>
        <v>0</v>
      </c>
      <c r="G1068" s="1">
        <f t="shared" si="697"/>
        <v>0</v>
      </c>
      <c r="H1068" s="1">
        <f t="shared" si="697"/>
        <v>0</v>
      </c>
      <c r="I1068" s="1">
        <f t="shared" si="697"/>
        <v>0</v>
      </c>
      <c r="J1068" s="1">
        <f t="shared" si="697"/>
        <v>0</v>
      </c>
      <c r="K1068" s="1">
        <f t="shared" si="697"/>
        <v>0</v>
      </c>
    </row>
    <row r="1069" spans="2:11" x14ac:dyDescent="0.25">
      <c r="B1069" s="5" t="str">
        <f t="shared" si="659"/>
        <v>SPS2</v>
      </c>
      <c r="C1069" s="5" t="str">
        <f t="shared" si="691"/>
        <v>CH</v>
      </c>
      <c r="D1069" t="s">
        <v>1058</v>
      </c>
      <c r="E1069" t="s">
        <v>8</v>
      </c>
      <c r="F1069" s="1">
        <f t="shared" ref="F1069:K1069" si="698">IFERROR(F$1066/F$1041,0)*F1044</f>
        <v>5.6462581962911654E-5</v>
      </c>
      <c r="G1069" s="1">
        <f t="shared" si="698"/>
        <v>2.4607583679872775E-4</v>
      </c>
      <c r="H1069" s="1">
        <f t="shared" si="698"/>
        <v>0</v>
      </c>
      <c r="I1069" s="1">
        <f t="shared" si="698"/>
        <v>0</v>
      </c>
      <c r="J1069" s="1">
        <f t="shared" si="698"/>
        <v>0</v>
      </c>
      <c r="K1069" s="1">
        <f t="shared" si="698"/>
        <v>0</v>
      </c>
    </row>
    <row r="1070" spans="2:11" x14ac:dyDescent="0.25">
      <c r="B1070" s="5" t="str">
        <f t="shared" si="659"/>
        <v>SPS2</v>
      </c>
      <c r="C1070" s="5" t="str">
        <f t="shared" si="691"/>
        <v>CH</v>
      </c>
      <c r="D1070" t="s">
        <v>1059</v>
      </c>
      <c r="E1070" t="s">
        <v>8</v>
      </c>
      <c r="F1070" s="1">
        <f>F1065-F1066</f>
        <v>6.5488724497289361</v>
      </c>
      <c r="G1070" s="1">
        <f t="shared" ref="G1070:K1070" si="699">G1065-G1066</f>
        <v>7.6930345793848627</v>
      </c>
      <c r="H1070" s="1">
        <f t="shared" si="699"/>
        <v>6.0597818099630105</v>
      </c>
      <c r="I1070" s="1">
        <f t="shared" si="699"/>
        <v>7.7073246099754371</v>
      </c>
      <c r="J1070" s="1">
        <f t="shared" si="699"/>
        <v>8.2660691951899068</v>
      </c>
      <c r="K1070" s="1">
        <f t="shared" si="699"/>
        <v>7.6602125163084471</v>
      </c>
    </row>
    <row r="1071" spans="2:11" x14ac:dyDescent="0.25">
      <c r="B1071" s="5" t="str">
        <f t="shared" si="659"/>
        <v>SPS2</v>
      </c>
      <c r="C1071" s="5" t="str">
        <f t="shared" si="691"/>
        <v>CH</v>
      </c>
      <c r="D1071" t="s">
        <v>1060</v>
      </c>
      <c r="E1071" t="s">
        <v>8</v>
      </c>
      <c r="F1071" s="1">
        <f>F1072</f>
        <v>9.1310750385225887</v>
      </c>
      <c r="G1071" s="1">
        <f t="shared" ref="G1071:K1071" si="700">G1072</f>
        <v>10.459774795625556</v>
      </c>
      <c r="H1071" s="1">
        <f t="shared" si="700"/>
        <v>10.728917516400948</v>
      </c>
      <c r="I1071" s="1">
        <f t="shared" si="700"/>
        <v>9.8608381861380874</v>
      </c>
      <c r="J1071" s="1">
        <f t="shared" si="700"/>
        <v>7.1586609299812434</v>
      </c>
      <c r="K1071" s="1">
        <f t="shared" si="700"/>
        <v>4.5601676700659626</v>
      </c>
    </row>
    <row r="1072" spans="2:11" x14ac:dyDescent="0.25">
      <c r="B1072" s="5" t="str">
        <f t="shared" si="659"/>
        <v>SPS2</v>
      </c>
      <c r="C1072" s="5" t="str">
        <f t="shared" si="691"/>
        <v>CH</v>
      </c>
      <c r="D1072" t="s">
        <v>1061</v>
      </c>
      <c r="E1072" t="s">
        <v>8</v>
      </c>
      <c r="F1072" s="1">
        <f>[1]Residential!B$111</f>
        <v>9.1310750385225887</v>
      </c>
      <c r="G1072" s="1">
        <f>[1]Residential!C$111</f>
        <v>10.459774795625556</v>
      </c>
      <c r="H1072" s="1">
        <f>[1]Residential!D$111</f>
        <v>10.728917516400948</v>
      </c>
      <c r="I1072" s="1">
        <f>[1]Residential!E$111</f>
        <v>9.8608381861380874</v>
      </c>
      <c r="J1072" s="1">
        <f>[1]Residential!F$111</f>
        <v>7.1586609299812434</v>
      </c>
      <c r="K1072" s="1">
        <f>[1]Residential!G$111</f>
        <v>4.5601676700659626</v>
      </c>
    </row>
    <row r="1073" spans="2:11" x14ac:dyDescent="0.25">
      <c r="B1073" s="5" t="str">
        <f t="shared" si="659"/>
        <v>SPS2</v>
      </c>
      <c r="C1073" s="5" t="str">
        <f t="shared" si="691"/>
        <v>CH</v>
      </c>
      <c r="D1073" t="s">
        <v>1062</v>
      </c>
      <c r="E1073" t="s">
        <v>8</v>
      </c>
      <c r="F1073" s="1">
        <f>F1074</f>
        <v>2.6968865165683455</v>
      </c>
      <c r="G1073" s="1">
        <f t="shared" ref="G1073:K1073" si="701">G1074</f>
        <v>3.1682217547639331</v>
      </c>
      <c r="H1073" s="1">
        <f t="shared" si="701"/>
        <v>0.34664824189932619</v>
      </c>
      <c r="I1073" s="1">
        <f t="shared" si="701"/>
        <v>0.50569427102278608</v>
      </c>
      <c r="J1073" s="1">
        <f t="shared" si="701"/>
        <v>0.59250858518499661</v>
      </c>
      <c r="K1073" s="1">
        <f t="shared" si="701"/>
        <v>0.50810470219749693</v>
      </c>
    </row>
    <row r="1074" spans="2:11" x14ac:dyDescent="0.25">
      <c r="B1074" s="5" t="str">
        <f t="shared" si="659"/>
        <v>SPS2</v>
      </c>
      <c r="C1074" s="5" t="str">
        <f t="shared" si="691"/>
        <v>CH</v>
      </c>
      <c r="D1074" t="s">
        <v>1063</v>
      </c>
      <c r="E1074" t="s">
        <v>8</v>
      </c>
      <c r="F1074" s="1">
        <f>[1]Residential!B$112</f>
        <v>2.6968865165683455</v>
      </c>
      <c r="G1074" s="1">
        <f>[1]Residential!C$112</f>
        <v>3.1682217547639331</v>
      </c>
      <c r="H1074" s="1">
        <f>[1]Residential!D$112</f>
        <v>0.34664824189932619</v>
      </c>
      <c r="I1074" s="1">
        <f>[1]Residential!E$112</f>
        <v>0.50569427102278608</v>
      </c>
      <c r="J1074" s="1">
        <f>[1]Residential!F$112</f>
        <v>0.59250858518499661</v>
      </c>
      <c r="K1074" s="1">
        <f>[1]Residential!G$112</f>
        <v>0.50810470219749693</v>
      </c>
    </row>
    <row r="1075" spans="2:11" x14ac:dyDescent="0.25">
      <c r="B1075" s="5" t="str">
        <f t="shared" si="659"/>
        <v>SPS2</v>
      </c>
      <c r="C1075" s="5" t="str">
        <f t="shared" si="691"/>
        <v>CH</v>
      </c>
      <c r="D1075" t="s">
        <v>1064</v>
      </c>
      <c r="E1075" t="s">
        <v>8</v>
      </c>
      <c r="F1075" s="1">
        <f>F1076</f>
        <v>0.78533849663084077</v>
      </c>
      <c r="G1075" s="1">
        <f t="shared" ref="G1075:K1075" si="702">G1076</f>
        <v>0.94128057904701135</v>
      </c>
      <c r="H1075" s="1">
        <f t="shared" si="702"/>
        <v>3.0091799113043816E-2</v>
      </c>
      <c r="I1075" s="1">
        <f t="shared" si="702"/>
        <v>3.3799893805658024E-2</v>
      </c>
      <c r="J1075" s="1">
        <f t="shared" si="702"/>
        <v>3.2338580219710818E-2</v>
      </c>
      <c r="K1075" s="1">
        <f t="shared" si="702"/>
        <v>2.8895692519828275E-2</v>
      </c>
    </row>
    <row r="1076" spans="2:11" x14ac:dyDescent="0.25">
      <c r="B1076" s="5" t="str">
        <f t="shared" ref="B1076:B1139" si="703">B1075</f>
        <v>SPS2</v>
      </c>
      <c r="C1076" s="5" t="str">
        <f t="shared" si="691"/>
        <v>CH</v>
      </c>
      <c r="D1076" t="s">
        <v>1065</v>
      </c>
      <c r="E1076" t="s">
        <v>8</v>
      </c>
      <c r="F1076" s="1">
        <f>[1]Residential!B$113</f>
        <v>0.78533849663084077</v>
      </c>
      <c r="G1076" s="1">
        <f>[1]Residential!C$113</f>
        <v>0.94128057904701135</v>
      </c>
      <c r="H1076" s="1">
        <f>[1]Residential!D$113</f>
        <v>3.0091799113043816E-2</v>
      </c>
      <c r="I1076" s="1">
        <f>[1]Residential!E$113</f>
        <v>3.3799893805658024E-2</v>
      </c>
      <c r="J1076" s="1">
        <f>[1]Residential!F$113</f>
        <v>3.2338580219710818E-2</v>
      </c>
      <c r="K1076" s="1">
        <f>[1]Residential!G$113</f>
        <v>2.8895692519828275E-2</v>
      </c>
    </row>
    <row r="1077" spans="2:11" x14ac:dyDescent="0.25">
      <c r="B1077" s="5" t="str">
        <f t="shared" si="703"/>
        <v>SPS2</v>
      </c>
      <c r="C1077" s="5" t="str">
        <f t="shared" si="691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04">G1078</f>
        <v>0</v>
      </c>
      <c r="H1077" s="1">
        <f t="shared" si="704"/>
        <v>0</v>
      </c>
      <c r="I1077" s="1">
        <f t="shared" si="704"/>
        <v>0</v>
      </c>
      <c r="J1077" s="1">
        <f t="shared" si="704"/>
        <v>0</v>
      </c>
      <c r="K1077" s="1">
        <f t="shared" si="704"/>
        <v>0</v>
      </c>
    </row>
    <row r="1078" spans="2:11" x14ac:dyDescent="0.25">
      <c r="B1078" s="5" t="str">
        <f t="shared" si="703"/>
        <v>SPS2</v>
      </c>
      <c r="C1078" s="5" t="str">
        <f t="shared" si="691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03"/>
        <v>SPS2</v>
      </c>
      <c r="C1079" s="5" t="str">
        <f t="shared" si="691"/>
        <v>CH</v>
      </c>
      <c r="D1079" t="s">
        <v>1068</v>
      </c>
      <c r="E1079" t="s">
        <v>8</v>
      </c>
      <c r="F1079" s="1">
        <f>[1]Residential!B$10-[1]Residential!B$223</f>
        <v>5.6054106261078943E-2</v>
      </c>
      <c r="G1079" s="1">
        <f>[1]Residential!C$10-[1]Residential!C$223</f>
        <v>7.496151946635603</v>
      </c>
      <c r="H1079" s="1">
        <f>[1]Residential!D$10-[1]Residential!D$223</f>
        <v>5.1241388735673796</v>
      </c>
      <c r="I1079" s="1">
        <f>[1]Residential!E$10-[1]Residential!E$223</f>
        <v>10.495391660778365</v>
      </c>
      <c r="J1079" s="1">
        <f>[1]Residential!F$10-[1]Residential!F$223</f>
        <v>20.056977360807366</v>
      </c>
      <c r="K1079" s="1">
        <f>[1]Residential!G$10-[1]Residential!G$223</f>
        <v>29.777751361047393</v>
      </c>
    </row>
    <row r="1080" spans="2:11" x14ac:dyDescent="0.25">
      <c r="B1080" s="5" t="str">
        <f t="shared" si="703"/>
        <v>SPS2</v>
      </c>
      <c r="C1080" s="5" t="str">
        <f t="shared" si="691"/>
        <v>CH</v>
      </c>
      <c r="D1080" t="s">
        <v>1069</v>
      </c>
      <c r="E1080" t="s">
        <v>8</v>
      </c>
      <c r="F1080" s="1">
        <f>[1]Residential!B$224</f>
        <v>26.978312413416127</v>
      </c>
      <c r="G1080" s="1">
        <f>[1]Residential!C$224</f>
        <v>25.930395017977361</v>
      </c>
      <c r="H1080" s="1">
        <f>[1]Residential!D$224</f>
        <v>21.22589069909899</v>
      </c>
      <c r="I1080" s="1">
        <f>[1]Residential!E$224</f>
        <v>22.083284711211103</v>
      </c>
      <c r="J1080" s="1">
        <f>[1]Residential!F$224</f>
        <v>26.668879740739225</v>
      </c>
      <c r="K1080" s="1">
        <f>[1]Residential!G$224</f>
        <v>28.401767501538462</v>
      </c>
    </row>
    <row r="1081" spans="2:11" x14ac:dyDescent="0.25">
      <c r="B1081" s="5" t="str">
        <f t="shared" si="703"/>
        <v>SPS2</v>
      </c>
      <c r="C1081" s="5" t="str">
        <f t="shared" si="691"/>
        <v>CH</v>
      </c>
      <c r="D1081" t="s">
        <v>1119</v>
      </c>
      <c r="E1081" t="s">
        <v>8</v>
      </c>
      <c r="F1081" s="1">
        <f>SUM(F1082:F1083)</f>
        <v>9.8845992276686285</v>
      </c>
      <c r="G1081" s="1">
        <f t="shared" ref="G1081:K1081" si="705">SUM(G1082:G1083)</f>
        <v>10.604169262063833</v>
      </c>
      <c r="H1081" s="1">
        <f t="shared" si="705"/>
        <v>7.4918632762178845</v>
      </c>
      <c r="I1081" s="1">
        <f t="shared" si="705"/>
        <v>9.1856200221161224</v>
      </c>
      <c r="J1081" s="1">
        <f t="shared" si="705"/>
        <v>13.976024276975778</v>
      </c>
      <c r="K1081" s="1">
        <f t="shared" si="705"/>
        <v>16.59061619725362</v>
      </c>
    </row>
    <row r="1082" spans="2:11" x14ac:dyDescent="0.25">
      <c r="B1082" s="5" t="str">
        <f t="shared" si="703"/>
        <v>SPS2</v>
      </c>
      <c r="C1082" s="5" t="str">
        <f t="shared" si="691"/>
        <v>CH</v>
      </c>
      <c r="D1082" t="s">
        <v>1120</v>
      </c>
      <c r="E1082" t="s">
        <v>8</v>
      </c>
      <c r="F1082" s="1">
        <f>[1]Residential!B$231-F1056</f>
        <v>6.6447017042624257</v>
      </c>
      <c r="G1082" s="1">
        <f>[1]Residential!C$231-G1056</f>
        <v>6.968709298301432</v>
      </c>
      <c r="H1082" s="1">
        <f>[1]Residential!D$231-H1056</f>
        <v>2.7653881927787292</v>
      </c>
      <c r="I1082" s="1">
        <f>[1]Residential!E$231-I1056</f>
        <v>2.0124999667850889</v>
      </c>
      <c r="J1082" s="1">
        <f>[1]Residential!F$231-J1056</f>
        <v>1.7261510780155624</v>
      </c>
      <c r="K1082" s="1">
        <f>[1]Residential!G$231-K1056</f>
        <v>1.5570018637909606</v>
      </c>
    </row>
    <row r="1083" spans="2:11" x14ac:dyDescent="0.25">
      <c r="B1083" s="5" t="str">
        <f t="shared" si="703"/>
        <v>SPS2</v>
      </c>
      <c r="C1083" s="5" t="str">
        <f t="shared" si="691"/>
        <v>CH</v>
      </c>
      <c r="D1083" t="s">
        <v>1121</v>
      </c>
      <c r="E1083" t="s">
        <v>8</v>
      </c>
      <c r="F1083" s="1">
        <f>[1]Residential!B$233-F1057</f>
        <v>3.2398975234062029</v>
      </c>
      <c r="G1083" s="1">
        <f>[1]Residential!C$233-G1057</f>
        <v>3.6354599637624005</v>
      </c>
      <c r="H1083" s="1">
        <f>[1]Residential!D$233-H1057</f>
        <v>4.7264750834391549</v>
      </c>
      <c r="I1083" s="1">
        <f>[1]Residential!E$233-I1057</f>
        <v>7.173120055331033</v>
      </c>
      <c r="J1083" s="1">
        <f>[1]Residential!F$233-J1057</f>
        <v>12.249873198960216</v>
      </c>
      <c r="K1083" s="1">
        <f>[1]Residential!G$233-K1057</f>
        <v>15.033614333462658</v>
      </c>
    </row>
    <row r="1084" spans="2:11" x14ac:dyDescent="0.25">
      <c r="B1084" s="5" t="str">
        <f t="shared" si="703"/>
        <v>SPS2</v>
      </c>
      <c r="C1084" s="5" t="str">
        <f t="shared" si="691"/>
        <v>CH</v>
      </c>
      <c r="D1084" t="s">
        <v>1070</v>
      </c>
      <c r="E1084" t="s">
        <v>8</v>
      </c>
      <c r="F1084" s="1">
        <f>F1085</f>
        <v>6.9844595385428505</v>
      </c>
      <c r="G1084" s="1">
        <f t="shared" ref="G1084:K1084" si="706">G1085</f>
        <v>5.5428350820312886</v>
      </c>
      <c r="H1084" s="1">
        <f t="shared" si="706"/>
        <v>4.3352758741181532</v>
      </c>
      <c r="I1084" s="1">
        <f t="shared" si="706"/>
        <v>2.1003520009392602</v>
      </c>
      <c r="J1084" s="1">
        <f t="shared" si="706"/>
        <v>0.73283198195577537</v>
      </c>
      <c r="K1084" s="1">
        <f t="shared" si="706"/>
        <v>5.2125075207267835E-2</v>
      </c>
    </row>
    <row r="1085" spans="2:11" x14ac:dyDescent="0.25">
      <c r="B1085" s="5" t="str">
        <f t="shared" si="703"/>
        <v>SPS2</v>
      </c>
      <c r="C1085" s="5" t="str">
        <f t="shared" si="691"/>
        <v>CH</v>
      </c>
      <c r="D1085" t="s">
        <v>1071</v>
      </c>
      <c r="E1085" t="s">
        <v>8</v>
      </c>
      <c r="F1085" s="1">
        <f>[1]Residential!B$234-F1059</f>
        <v>6.9844595385428505</v>
      </c>
      <c r="G1085" s="1">
        <f>[1]Residential!C$234-G1059</f>
        <v>5.5428350820312886</v>
      </c>
      <c r="H1085" s="1">
        <f>[1]Residential!D$234-H1059</f>
        <v>4.3352758741181532</v>
      </c>
      <c r="I1085" s="1">
        <f>[1]Residential!E$234-I1059</f>
        <v>2.1003520009392602</v>
      </c>
      <c r="J1085" s="1">
        <f>[1]Residential!F$234-J1059</f>
        <v>0.73283198195577537</v>
      </c>
      <c r="K1085" s="1">
        <f>[1]Residential!G$234-K1059</f>
        <v>5.2125075207267835E-2</v>
      </c>
    </row>
    <row r="1086" spans="2:11" x14ac:dyDescent="0.25">
      <c r="B1086" s="5" t="str">
        <f t="shared" si="703"/>
        <v>SPS2</v>
      </c>
      <c r="C1086" s="5" t="str">
        <f t="shared" si="691"/>
        <v>CH</v>
      </c>
      <c r="D1086" t="s">
        <v>1072</v>
      </c>
      <c r="E1086" t="s">
        <v>8</v>
      </c>
      <c r="F1086" s="1">
        <f>SUM(F1087:F1088)</f>
        <v>6.3804525658242568</v>
      </c>
      <c r="G1086" s="1">
        <f t="shared" ref="G1086:K1086" si="707">SUM(G1087:G1088)</f>
        <v>5.5412109826091367</v>
      </c>
      <c r="H1086" s="1">
        <f t="shared" si="707"/>
        <v>6.1852900749504576</v>
      </c>
      <c r="I1086" s="1">
        <f t="shared" si="707"/>
        <v>6.7748706292925984</v>
      </c>
      <c r="J1086" s="1">
        <f t="shared" si="707"/>
        <v>7.3671408427762364</v>
      </c>
      <c r="K1086" s="1">
        <f t="shared" si="707"/>
        <v>7.1770990660683278</v>
      </c>
    </row>
    <row r="1087" spans="2:11" x14ac:dyDescent="0.25">
      <c r="B1087" s="5" t="str">
        <f t="shared" si="703"/>
        <v>SPS2</v>
      </c>
      <c r="C1087" s="5" t="str">
        <f t="shared" si="691"/>
        <v>CH</v>
      </c>
      <c r="D1087" t="s">
        <v>1073</v>
      </c>
      <c r="E1087" t="s">
        <v>8</v>
      </c>
      <c r="F1087" s="1">
        <f>[1]Residential!B$235-F1061</f>
        <v>6.3804525658242568</v>
      </c>
      <c r="G1087" s="1">
        <f>[1]Residential!C$235-G1061</f>
        <v>5.5412109826091367</v>
      </c>
      <c r="H1087" s="1">
        <f>[1]Residential!D$235-H1061</f>
        <v>5.1739845600474617</v>
      </c>
      <c r="I1087" s="1">
        <f>[1]Residential!E$235-I1061</f>
        <v>3.5062208624083588</v>
      </c>
      <c r="J1087" s="1">
        <f>[1]Residential!F$235-J1061</f>
        <v>1.4968136072074456</v>
      </c>
      <c r="K1087" s="1">
        <f>[1]Residential!G$235-K1061</f>
        <v>0.65177728692711279</v>
      </c>
    </row>
    <row r="1088" spans="2:11" x14ac:dyDescent="0.25">
      <c r="B1088" s="5" t="str">
        <f t="shared" si="703"/>
        <v>SPS2</v>
      </c>
      <c r="C1088" s="5" t="str">
        <f t="shared" si="691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1.0113055149029959</v>
      </c>
      <c r="I1088" s="1">
        <f>[1]Residential!E$236-I1062</f>
        <v>3.2686497668842396</v>
      </c>
      <c r="J1088" s="1">
        <f>[1]Residential!F$236-J1062</f>
        <v>5.8703272355687908</v>
      </c>
      <c r="K1088" s="1">
        <f>[1]Residential!G$236-K1062</f>
        <v>6.5253217791412155</v>
      </c>
    </row>
    <row r="1089" spans="2:11" x14ac:dyDescent="0.25">
      <c r="B1089" s="5" t="str">
        <f t="shared" si="703"/>
        <v>SPS2</v>
      </c>
      <c r="C1089" s="5" t="str">
        <f t="shared" si="691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03"/>
        <v>SPS2</v>
      </c>
      <c r="C1090" s="5" t="str">
        <f t="shared" si="691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03"/>
        <v>SPS2</v>
      </c>
      <c r="C1091" s="5" t="str">
        <f t="shared" si="691"/>
        <v>CH</v>
      </c>
      <c r="D1091" t="s">
        <v>1077</v>
      </c>
      <c r="E1091" t="s">
        <v>8</v>
      </c>
      <c r="F1091" s="1">
        <f>SUM(F1092,F1096)</f>
        <v>1.3170483150791772</v>
      </c>
      <c r="G1091" s="1">
        <f t="shared" ref="G1091:K1091" si="708">SUM(G1092,G1096)</f>
        <v>1.4633771910949891</v>
      </c>
      <c r="H1091" s="1">
        <f t="shared" si="708"/>
        <v>1.0130419873950007</v>
      </c>
      <c r="I1091" s="1">
        <f t="shared" si="708"/>
        <v>1.5292772372595298</v>
      </c>
      <c r="J1091" s="1">
        <f t="shared" si="708"/>
        <v>1.9512862106038682</v>
      </c>
      <c r="K1091" s="1">
        <f t="shared" si="708"/>
        <v>2.1166416686004519</v>
      </c>
    </row>
    <row r="1092" spans="2:11" x14ac:dyDescent="0.25">
      <c r="B1092" s="5" t="str">
        <f t="shared" si="703"/>
        <v>SPS2</v>
      </c>
      <c r="C1092" s="5" t="str">
        <f t="shared" si="691"/>
        <v>CH</v>
      </c>
      <c r="D1092" t="s">
        <v>1078</v>
      </c>
      <c r="E1092" t="s">
        <v>8</v>
      </c>
      <c r="F1092" s="1">
        <f>[1]Residential!B$238-F1066</f>
        <v>1.6285034020812286E-2</v>
      </c>
      <c r="G1092" s="1">
        <f>[1]Residential!C$238-G1066</f>
        <v>1.706084771950769E-3</v>
      </c>
      <c r="H1092" s="1">
        <f>[1]Residential!D$238-H1066</f>
        <v>0</v>
      </c>
      <c r="I1092" s="1">
        <f>[1]Residential!E$238-I1066</f>
        <v>0</v>
      </c>
      <c r="J1092" s="1">
        <f>[1]Residential!F$238-J1066</f>
        <v>0</v>
      </c>
      <c r="K1092" s="1">
        <f>[1]Residential!G$238-K1066</f>
        <v>0</v>
      </c>
    </row>
    <row r="1093" spans="2:11" x14ac:dyDescent="0.25">
      <c r="B1093" s="5" t="str">
        <f t="shared" si="703"/>
        <v>SPS2</v>
      </c>
      <c r="C1093" s="5" t="str">
        <f t="shared" si="691"/>
        <v>CH</v>
      </c>
      <c r="D1093" t="s">
        <v>1079</v>
      </c>
      <c r="E1093" t="s">
        <v>8</v>
      </c>
      <c r="F1093" s="1">
        <f>IFERROR(F$1092/F$1041,0)*F1042</f>
        <v>1.6273819196591034E-2</v>
      </c>
      <c r="G1093" s="1">
        <f t="shared" ref="G1093:K1095" si="709">IFERROR(G$1092/G$1041,0)*G1042</f>
        <v>1.6593305377274094E-3</v>
      </c>
      <c r="H1093" s="1">
        <f t="shared" si="709"/>
        <v>0</v>
      </c>
      <c r="I1093" s="1">
        <f t="shared" si="709"/>
        <v>0</v>
      </c>
      <c r="J1093" s="1">
        <f t="shared" si="709"/>
        <v>0</v>
      </c>
      <c r="K1093" s="1">
        <f t="shared" si="709"/>
        <v>0</v>
      </c>
    </row>
    <row r="1094" spans="2:11" x14ac:dyDescent="0.25">
      <c r="B1094" s="5" t="str">
        <f t="shared" si="703"/>
        <v>SPS2</v>
      </c>
      <c r="C1094" s="5" t="str">
        <f t="shared" si="691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09"/>
        <v>0</v>
      </c>
      <c r="H1094" s="1">
        <f t="shared" si="709"/>
        <v>0</v>
      </c>
      <c r="I1094" s="1">
        <f t="shared" si="709"/>
        <v>0</v>
      </c>
      <c r="J1094" s="1">
        <f t="shared" si="709"/>
        <v>0</v>
      </c>
      <c r="K1094" s="1">
        <f t="shared" si="709"/>
        <v>0</v>
      </c>
    </row>
    <row r="1095" spans="2:11" x14ac:dyDescent="0.25">
      <c r="B1095" s="5" t="str">
        <f t="shared" si="703"/>
        <v>SPS2</v>
      </c>
      <c r="C1095" s="5" t="str">
        <f t="shared" si="691"/>
        <v>CH</v>
      </c>
      <c r="D1095" t="s">
        <v>1081</v>
      </c>
      <c r="E1095" t="s">
        <v>8</v>
      </c>
      <c r="F1095" s="1">
        <f>IFERROR(F$1092/F$1041,0)*F1044</f>
        <v>1.1214824221251052E-5</v>
      </c>
      <c r="G1095" s="1">
        <f t="shared" si="709"/>
        <v>4.6754234223359505E-5</v>
      </c>
      <c r="H1095" s="1">
        <f t="shared" si="709"/>
        <v>0</v>
      </c>
      <c r="I1095" s="1">
        <f t="shared" si="709"/>
        <v>0</v>
      </c>
      <c r="J1095" s="1">
        <f t="shared" si="709"/>
        <v>0</v>
      </c>
      <c r="K1095" s="1">
        <f t="shared" si="709"/>
        <v>0</v>
      </c>
    </row>
    <row r="1096" spans="2:11" x14ac:dyDescent="0.25">
      <c r="B1096" s="5" t="str">
        <f t="shared" si="703"/>
        <v>SPS2</v>
      </c>
      <c r="C1096" s="5" t="str">
        <f t="shared" si="691"/>
        <v>CH</v>
      </c>
      <c r="D1096" t="s">
        <v>1082</v>
      </c>
      <c r="E1096" t="s">
        <v>8</v>
      </c>
      <c r="F1096" s="1">
        <f>[1]Residential!B$239-F1070</f>
        <v>1.3007632810583649</v>
      </c>
      <c r="G1096" s="1">
        <f>[1]Residential!C$239-G1070</f>
        <v>1.4616711063230383</v>
      </c>
      <c r="H1096" s="1">
        <f>[1]Residential!D$239-H1070</f>
        <v>1.0130419873950007</v>
      </c>
      <c r="I1096" s="1">
        <f>[1]Residential!E$239-I1070</f>
        <v>1.5292772372595298</v>
      </c>
      <c r="J1096" s="1">
        <f>[1]Residential!F$239-J1070</f>
        <v>1.9512862106038682</v>
      </c>
      <c r="K1096" s="1">
        <f>[1]Residential!G$239-K1070</f>
        <v>2.1166416686004519</v>
      </c>
    </row>
    <row r="1097" spans="2:11" x14ac:dyDescent="0.25">
      <c r="B1097" s="5" t="str">
        <f t="shared" si="703"/>
        <v>SPS2</v>
      </c>
      <c r="C1097" s="5" t="str">
        <f t="shared" si="691"/>
        <v>CH</v>
      </c>
      <c r="D1097" t="s">
        <v>1083</v>
      </c>
      <c r="E1097" t="s">
        <v>8</v>
      </c>
      <c r="F1097" s="1">
        <f>F1098</f>
        <v>0.52047147364921642</v>
      </c>
      <c r="G1097" s="1">
        <f t="shared" ref="G1097:K1097" si="710">G1098</f>
        <v>0.59724066183670388</v>
      </c>
      <c r="H1097" s="1">
        <f t="shared" si="710"/>
        <v>1.2228346807521646</v>
      </c>
      <c r="I1097" s="1">
        <f t="shared" si="710"/>
        <v>1.3158077490409408</v>
      </c>
      <c r="J1097" s="1">
        <f t="shared" si="710"/>
        <v>1.2664006128250183</v>
      </c>
      <c r="K1097" s="1">
        <f t="shared" si="710"/>
        <v>1.0812739067788888</v>
      </c>
    </row>
    <row r="1098" spans="2:11" x14ac:dyDescent="0.25">
      <c r="B1098" s="5" t="str">
        <f t="shared" si="703"/>
        <v>SPS2</v>
      </c>
      <c r="C1098" s="5" t="str">
        <f t="shared" si="691"/>
        <v>CH</v>
      </c>
      <c r="D1098" t="s">
        <v>1084</v>
      </c>
      <c r="E1098" t="s">
        <v>8</v>
      </c>
      <c r="F1098" s="1">
        <f>[1]Residential!B$240-F1072</f>
        <v>0.52047147364921642</v>
      </c>
      <c r="G1098" s="1">
        <f>[1]Residential!C$240-G1072</f>
        <v>0.59724066183670388</v>
      </c>
      <c r="H1098" s="1">
        <f>[1]Residential!D$240-H1072</f>
        <v>1.2228346807521646</v>
      </c>
      <c r="I1098" s="1">
        <f>[1]Residential!E$240-I1072</f>
        <v>1.3158077490409408</v>
      </c>
      <c r="J1098" s="1">
        <f>[1]Residential!F$240-J1072</f>
        <v>1.2664006128250183</v>
      </c>
      <c r="K1098" s="1">
        <f>[1]Residential!G$240-K1072</f>
        <v>1.0812739067788888</v>
      </c>
    </row>
    <row r="1099" spans="2:11" x14ac:dyDescent="0.25">
      <c r="B1099" s="5" t="str">
        <f t="shared" si="703"/>
        <v>SPS2</v>
      </c>
      <c r="C1099" s="5" t="str">
        <f t="shared" si="691"/>
        <v>CH</v>
      </c>
      <c r="D1099" t="s">
        <v>1085</v>
      </c>
      <c r="E1099" t="s">
        <v>8</v>
      </c>
      <c r="F1099" s="1">
        <f>F1100</f>
        <v>0.16979326799214611</v>
      </c>
      <c r="G1099" s="1">
        <f t="shared" ref="G1099" si="711">G1100</f>
        <v>0.1948364042882651</v>
      </c>
      <c r="H1099" s="1">
        <f t="shared" ref="H1099" si="712">H1100</f>
        <v>7.7933867729235162E-2</v>
      </c>
      <c r="I1099" s="1">
        <f t="shared" ref="I1099" si="713">I1100</f>
        <v>0.13052812650255885</v>
      </c>
      <c r="J1099" s="1">
        <f t="shared" ref="J1099" si="714">J1100</f>
        <v>0.18338871083485853</v>
      </c>
      <c r="K1099" s="1">
        <f t="shared" ref="K1099" si="715">K1100</f>
        <v>0.18808550430997673</v>
      </c>
    </row>
    <row r="1100" spans="2:11" x14ac:dyDescent="0.25">
      <c r="B1100" s="5" t="str">
        <f t="shared" si="703"/>
        <v>SPS2</v>
      </c>
      <c r="C1100" s="5" t="str">
        <f t="shared" si="691"/>
        <v>CH</v>
      </c>
      <c r="D1100" t="s">
        <v>1086</v>
      </c>
      <c r="E1100" t="s">
        <v>8</v>
      </c>
      <c r="F1100" s="1">
        <f>[1]Residential!B$241-F1074</f>
        <v>0.16979326799214611</v>
      </c>
      <c r="G1100" s="1">
        <f>[1]Residential!C$241-G1074</f>
        <v>0.1948364042882651</v>
      </c>
      <c r="H1100" s="1">
        <f>[1]Residential!D$241-H1074</f>
        <v>7.7933867729235162E-2</v>
      </c>
      <c r="I1100" s="1">
        <f>[1]Residential!E$241-I1074</f>
        <v>0.13052812650255885</v>
      </c>
      <c r="J1100" s="1">
        <f>[1]Residential!F$241-J1074</f>
        <v>0.18338871083485853</v>
      </c>
      <c r="K1100" s="1">
        <f>[1]Residential!G$241-K1074</f>
        <v>0.18808550430997673</v>
      </c>
    </row>
    <row r="1101" spans="2:11" x14ac:dyDescent="0.25">
      <c r="B1101" s="5" t="str">
        <f t="shared" si="703"/>
        <v>SPS2</v>
      </c>
      <c r="C1101" s="5" t="str">
        <f t="shared" si="691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16">G1102</f>
        <v>1.9867254340531442</v>
      </c>
      <c r="H1101" s="1">
        <f t="shared" ref="H1101" si="717">H1102</f>
        <v>0.8996509379361024</v>
      </c>
      <c r="I1101" s="1">
        <f t="shared" ref="I1101" si="718">I1102</f>
        <v>1.0468289460600935</v>
      </c>
      <c r="J1101" s="1">
        <f t="shared" ref="J1101" si="719">J1102</f>
        <v>1.1918071047676859</v>
      </c>
      <c r="K1101" s="1">
        <f t="shared" ref="K1101" si="720">K1102</f>
        <v>1.1959260833199212</v>
      </c>
    </row>
    <row r="1102" spans="2:11" x14ac:dyDescent="0.25">
      <c r="B1102" s="5" t="str">
        <f t="shared" si="703"/>
        <v>SPS2</v>
      </c>
      <c r="C1102" s="5" t="str">
        <f t="shared" si="691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1.9867254340531442</v>
      </c>
      <c r="H1102" s="1">
        <f>[1]Residential!D$242-H1076</f>
        <v>0.8996509379361024</v>
      </c>
      <c r="I1102" s="1">
        <f>[1]Residential!E$242-I1076</f>
        <v>1.0468289460600935</v>
      </c>
      <c r="J1102" s="1">
        <f>[1]Residential!F$242-J1076</f>
        <v>1.1918071047676859</v>
      </c>
      <c r="K1102" s="1">
        <f>[1]Residential!G$242-K1076</f>
        <v>1.1959260833199212</v>
      </c>
    </row>
    <row r="1103" spans="2:11" x14ac:dyDescent="0.25">
      <c r="B1103" s="5" t="str">
        <f t="shared" si="703"/>
        <v>SPS2</v>
      </c>
      <c r="C1103" s="5" t="str">
        <f t="shared" si="691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21">G1104</f>
        <v>0</v>
      </c>
      <c r="H1103" s="1">
        <f t="shared" ref="H1103" si="722">H1104</f>
        <v>0</v>
      </c>
      <c r="I1103" s="1">
        <f t="shared" ref="I1103" si="723">I1104</f>
        <v>0</v>
      </c>
      <c r="J1103" s="1">
        <f t="shared" ref="J1103" si="724">J1104</f>
        <v>0</v>
      </c>
      <c r="K1103" s="1">
        <f t="shared" ref="K1103" si="725">K1104</f>
        <v>0</v>
      </c>
    </row>
    <row r="1104" spans="2:11" x14ac:dyDescent="0.25">
      <c r="B1104" s="5" t="str">
        <f t="shared" si="703"/>
        <v>SPS2</v>
      </c>
      <c r="C1104" s="5" t="str">
        <f t="shared" si="691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03"/>
        <v>SPS2</v>
      </c>
      <c r="C1105" s="5" t="str">
        <f t="shared" si="691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si="703"/>
        <v>SPS2</v>
      </c>
      <c r="C1106" s="5" t="str">
        <f t="shared" ref="C1106:C1133" si="726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 t="shared" si="703"/>
        <v>SPS2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0.95000000000000051</v>
      </c>
      <c r="G1107" s="4">
        <f t="shared" ref="G1107:K1108" si="727">IFERROR(G1056/G973,"-")</f>
        <v>0.95000000000000073</v>
      </c>
      <c r="H1107" s="4">
        <f t="shared" si="727"/>
        <v>0.91575934325000974</v>
      </c>
      <c r="I1107" s="4">
        <f t="shared" si="727"/>
        <v>0.91710207142441114</v>
      </c>
      <c r="J1107" s="4">
        <f t="shared" si="727"/>
        <v>0.94352151988293831</v>
      </c>
      <c r="K1107" s="4">
        <f t="shared" si="727"/>
        <v>0.94809335423249996</v>
      </c>
    </row>
    <row r="1108" spans="2:11" x14ac:dyDescent="0.25">
      <c r="B1108" s="5" t="str">
        <f t="shared" si="703"/>
        <v>SPS2</v>
      </c>
      <c r="C1108" s="5" t="str">
        <f t="shared" si="726"/>
        <v>CH</v>
      </c>
      <c r="D1108" t="s">
        <v>1123</v>
      </c>
      <c r="E1108" t="s">
        <v>240</v>
      </c>
      <c r="F1108" s="4">
        <f>IFERROR(F1057/F974,"-")</f>
        <v>3.2000000391381107</v>
      </c>
      <c r="G1108" s="4">
        <f t="shared" si="727"/>
        <v>3.2533333561935187</v>
      </c>
      <c r="H1108" s="4">
        <f t="shared" si="727"/>
        <v>2.9883584499681883</v>
      </c>
      <c r="I1108" s="4">
        <f t="shared" si="727"/>
        <v>3.2546984583196386</v>
      </c>
      <c r="J1108" s="4">
        <f t="shared" si="727"/>
        <v>3.677181244439407</v>
      </c>
      <c r="K1108" s="4">
        <f t="shared" si="727"/>
        <v>4.0909448564014008</v>
      </c>
    </row>
    <row r="1109" spans="2:11" x14ac:dyDescent="0.25">
      <c r="B1109" s="5" t="str">
        <f t="shared" si="703"/>
        <v>SPS2</v>
      </c>
      <c r="C1109" s="5" t="str">
        <f t="shared" si="726"/>
        <v>CH</v>
      </c>
      <c r="D1109" t="s">
        <v>1093</v>
      </c>
      <c r="E1109" t="s">
        <v>240</v>
      </c>
      <c r="F1109" s="4">
        <f>IFERROR(F1059/F983,"-")</f>
        <v>0.89583333333333404</v>
      </c>
      <c r="G1109" s="4">
        <f t="shared" ref="G1109:K1109" si="728">IFERROR(G1059/G983,"-")</f>
        <v>0.89583333333333404</v>
      </c>
      <c r="H1109" s="4">
        <f t="shared" si="728"/>
        <v>0.84861887753949616</v>
      </c>
      <c r="I1109" s="4">
        <f t="shared" si="728"/>
        <v>0.86666443982251873</v>
      </c>
      <c r="J1109" s="4">
        <f t="shared" si="728"/>
        <v>0.86874565052613129</v>
      </c>
      <c r="K1109" s="4">
        <f t="shared" si="728"/>
        <v>0.87195366748621816</v>
      </c>
    </row>
    <row r="1110" spans="2:11" x14ac:dyDescent="0.25">
      <c r="B1110" s="5" t="str">
        <f t="shared" si="703"/>
        <v>SPS2</v>
      </c>
      <c r="C1110" s="5" t="str">
        <f t="shared" si="726"/>
        <v>CH</v>
      </c>
      <c r="D1110" t="s">
        <v>1094</v>
      </c>
      <c r="E1110" t="s">
        <v>240</v>
      </c>
      <c r="F1110" s="4">
        <f>IFERROR(F1061/F996,"-")</f>
        <v>0.95000000000000095</v>
      </c>
      <c r="G1110" s="4">
        <f t="shared" ref="G1110:K1110" si="729">IFERROR(G1061/G996,"-")</f>
        <v>0.94999999999999984</v>
      </c>
      <c r="H1110" s="4">
        <f t="shared" si="729"/>
        <v>0.93042382544701885</v>
      </c>
      <c r="I1110" s="4">
        <f t="shared" si="729"/>
        <v>0.93228958858760946</v>
      </c>
      <c r="J1110" s="4">
        <f t="shared" si="729"/>
        <v>0.93166236324620411</v>
      </c>
      <c r="K1110" s="4">
        <f t="shared" si="729"/>
        <v>0.93895063090806019</v>
      </c>
    </row>
    <row r="1111" spans="2:11" x14ac:dyDescent="0.25">
      <c r="B1111" s="5" t="str">
        <f t="shared" si="703"/>
        <v>SPS2</v>
      </c>
      <c r="C1111" s="5" t="str">
        <f t="shared" si="726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30">IFERROR(G1062/G997,"-")</f>
        <v>-</v>
      </c>
      <c r="H1111" s="4">
        <f t="shared" si="730"/>
        <v>1.8718907133280636</v>
      </c>
      <c r="I1111" s="4">
        <f t="shared" si="730"/>
        <v>1.9451219814420431</v>
      </c>
      <c r="J1111" s="4">
        <f t="shared" si="730"/>
        <v>1.9987576000954994</v>
      </c>
      <c r="K1111" s="4">
        <f t="shared" si="730"/>
        <v>2.1123340816872171</v>
      </c>
    </row>
    <row r="1112" spans="2:11" x14ac:dyDescent="0.25">
      <c r="B1112" s="5" t="str">
        <f t="shared" si="703"/>
        <v>SPS2</v>
      </c>
      <c r="C1112" s="5" t="str">
        <f t="shared" si="726"/>
        <v>CH</v>
      </c>
      <c r="D1112" t="s">
        <v>1096</v>
      </c>
      <c r="E1112" t="s">
        <v>240</v>
      </c>
      <c r="F1112" s="4">
        <f>IFERROR(F1064/F1015,"-")</f>
        <v>0.72</v>
      </c>
      <c r="G1112" s="4">
        <f t="shared" ref="G1112:K1112" si="731">IFERROR(G1064/G1015,"-")</f>
        <v>0.72</v>
      </c>
      <c r="H1112" s="4">
        <f t="shared" si="731"/>
        <v>0.79844096041423218</v>
      </c>
      <c r="I1112" s="4">
        <f t="shared" si="731"/>
        <v>0.79999999999999938</v>
      </c>
      <c r="J1112" s="4" t="str">
        <f t="shared" si="731"/>
        <v>-</v>
      </c>
      <c r="K1112" s="4" t="str">
        <f t="shared" si="731"/>
        <v>-</v>
      </c>
    </row>
    <row r="1113" spans="2:11" x14ac:dyDescent="0.25">
      <c r="B1113" s="5" t="str">
        <f t="shared" si="703"/>
        <v>SPS2</v>
      </c>
      <c r="C1113" s="5" t="str">
        <f t="shared" si="726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03"/>
        <v>SPS2</v>
      </c>
      <c r="C1114" s="5" t="str">
        <f t="shared" si="726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03"/>
        <v>SPS2</v>
      </c>
      <c r="C1115" s="5" t="str">
        <f t="shared" si="726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03"/>
        <v>SPS2</v>
      </c>
      <c r="C1116" s="5" t="str">
        <f t="shared" si="726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03"/>
        <v>SPS2</v>
      </c>
      <c r="C1117" s="5" t="str">
        <f t="shared" si="726"/>
        <v>CH</v>
      </c>
      <c r="D1117" t="s">
        <v>1101</v>
      </c>
      <c r="E1117" t="s">
        <v>240</v>
      </c>
      <c r="F1117" s="4">
        <f>IFERROR(F1072/F1020,"-")</f>
        <v>0.72000000000000031</v>
      </c>
      <c r="G1117" s="4">
        <f t="shared" ref="G1117:K1117" si="732">IFERROR(G1072/G1020,"-")</f>
        <v>0.72000000000000042</v>
      </c>
      <c r="H1117" s="4">
        <f t="shared" si="732"/>
        <v>0.71679911530071649</v>
      </c>
      <c r="I1117" s="4">
        <f t="shared" si="732"/>
        <v>0.72577227819842793</v>
      </c>
      <c r="J1117" s="4">
        <f t="shared" si="732"/>
        <v>0.73270416305956587</v>
      </c>
      <c r="K1117" s="4">
        <f t="shared" si="732"/>
        <v>0.75592680407438184</v>
      </c>
    </row>
    <row r="1118" spans="2:11" x14ac:dyDescent="0.25">
      <c r="B1118" s="5" t="str">
        <f t="shared" si="703"/>
        <v>SPS2</v>
      </c>
      <c r="C1118" s="5" t="str">
        <f t="shared" si="726"/>
        <v>CH</v>
      </c>
      <c r="D1118" t="s">
        <v>1102</v>
      </c>
      <c r="E1118" t="s">
        <v>240</v>
      </c>
      <c r="F1118" s="4">
        <f>IFERROR(F1074/F1025,"-")</f>
        <v>0.90000000000000013</v>
      </c>
      <c r="G1118" s="4">
        <f t="shared" ref="G1118:K1118" si="733">IFERROR(G1074/G1025,"-")</f>
        <v>0.89999999999999969</v>
      </c>
      <c r="H1118" s="4">
        <f t="shared" si="733"/>
        <v>0.73080628100011347</v>
      </c>
      <c r="I1118" s="4">
        <f t="shared" si="733"/>
        <v>0.73813004933382087</v>
      </c>
      <c r="J1118" s="4">
        <f t="shared" si="733"/>
        <v>0.74239241591855654</v>
      </c>
      <c r="K1118" s="4">
        <f t="shared" si="733"/>
        <v>0.75445575769167106</v>
      </c>
    </row>
    <row r="1119" spans="2:11" x14ac:dyDescent="0.25">
      <c r="B1119" s="5" t="str">
        <f t="shared" si="703"/>
        <v>SPS2</v>
      </c>
      <c r="C1119" s="5" t="str">
        <f t="shared" si="726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03"/>
        <v>SPS2</v>
      </c>
      <c r="C1120" s="5" t="str">
        <f t="shared" si="726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34">IFERROR(G1078/G1037,"-")</f>
        <v>-</v>
      </c>
      <c r="H1120" s="4" t="str">
        <f t="shared" si="734"/>
        <v>-</v>
      </c>
      <c r="I1120" s="4" t="str">
        <f t="shared" si="734"/>
        <v>-</v>
      </c>
      <c r="J1120" s="4" t="str">
        <f t="shared" si="734"/>
        <v>-</v>
      </c>
      <c r="K1120" s="4" t="str">
        <f t="shared" si="734"/>
        <v>-</v>
      </c>
    </row>
    <row r="1121" spans="2:11" x14ac:dyDescent="0.25">
      <c r="B1121" s="5" t="str">
        <f t="shared" si="703"/>
        <v>SPS2</v>
      </c>
      <c r="C1121" s="5" t="str">
        <f t="shared" si="726"/>
        <v>CH</v>
      </c>
      <c r="D1121" t="s">
        <v>1124</v>
      </c>
      <c r="E1121" t="s">
        <v>240</v>
      </c>
      <c r="F1121" s="4">
        <f>IFERROR(F1082/F976,"-")</f>
        <v>0.79000000000000026</v>
      </c>
      <c r="G1121" s="4">
        <f t="shared" ref="G1121:K1122" si="735">IFERROR(G1082/G976,"-")</f>
        <v>0.79199999999999948</v>
      </c>
      <c r="H1121" s="4">
        <f t="shared" si="735"/>
        <v>0.46575587304245963</v>
      </c>
      <c r="I1121" s="4">
        <f t="shared" si="735"/>
        <v>0.48521790564630218</v>
      </c>
      <c r="J1121" s="4">
        <f t="shared" si="735"/>
        <v>0.50463726939607489</v>
      </c>
      <c r="K1121" s="4">
        <f t="shared" si="735"/>
        <v>0.51944026407081079</v>
      </c>
    </row>
    <row r="1122" spans="2:11" x14ac:dyDescent="0.25">
      <c r="B1122" s="5" t="str">
        <f t="shared" si="703"/>
        <v>SPS2</v>
      </c>
      <c r="C1122" s="5" t="str">
        <f t="shared" si="726"/>
        <v>CH</v>
      </c>
      <c r="D1122" t="s">
        <v>1125</v>
      </c>
      <c r="E1122" t="s">
        <v>240</v>
      </c>
      <c r="F1122" s="4">
        <f>IFERROR(F1083/F977,"-")</f>
        <v>2.8199999999999981</v>
      </c>
      <c r="G1122" s="4">
        <f t="shared" si="735"/>
        <v>2.8260000000000018</v>
      </c>
      <c r="H1122" s="4">
        <f t="shared" si="735"/>
        <v>1.8983321538903206</v>
      </c>
      <c r="I1122" s="4">
        <f t="shared" si="735"/>
        <v>2.1070443284158178</v>
      </c>
      <c r="J1122" s="4">
        <f t="shared" si="735"/>
        <v>2.4388159889084422</v>
      </c>
      <c r="K1122" s="4">
        <f t="shared" si="735"/>
        <v>2.7423156346235502</v>
      </c>
    </row>
    <row r="1123" spans="2:11" x14ac:dyDescent="0.25">
      <c r="B1123" s="5" t="str">
        <f t="shared" si="703"/>
        <v>SPS2</v>
      </c>
      <c r="C1123" s="5" t="str">
        <f t="shared" si="726"/>
        <v>CH</v>
      </c>
      <c r="D1123" t="s">
        <v>1105</v>
      </c>
      <c r="E1123" t="s">
        <v>240</v>
      </c>
      <c r="F1123" s="4">
        <f>IFERROR(F1085/F989,"-")</f>
        <v>0.70833333333333315</v>
      </c>
      <c r="G1123" s="4">
        <f t="shared" ref="G1123:K1123" si="736">IFERROR(G1085/G989,"-")</f>
        <v>0.71458333333333235</v>
      </c>
      <c r="H1123" s="4">
        <f t="shared" si="736"/>
        <v>0.50188068398291796</v>
      </c>
      <c r="I1123" s="4">
        <f t="shared" si="736"/>
        <v>0.53823109051872764</v>
      </c>
      <c r="J1123" s="4">
        <f t="shared" si="736"/>
        <v>0.55959917513987822</v>
      </c>
      <c r="K1123" s="4">
        <f t="shared" si="736"/>
        <v>0.59226739476516377</v>
      </c>
    </row>
    <row r="1124" spans="2:11" x14ac:dyDescent="0.25">
      <c r="B1124" s="5" t="str">
        <f t="shared" si="703"/>
        <v>SPS2</v>
      </c>
      <c r="C1124" s="5" t="str">
        <f t="shared" si="726"/>
        <v>CH</v>
      </c>
      <c r="D1124" t="s">
        <v>1106</v>
      </c>
      <c r="E1124" t="s">
        <v>240</v>
      </c>
      <c r="F1124" s="4">
        <f>IFERROR(F1087/F1005,"-")</f>
        <v>0.75</v>
      </c>
      <c r="G1124" s="4">
        <f t="shared" ref="G1124:K1124" si="737">IFERROR(G1087/G1005,"-")</f>
        <v>0.75400000000000023</v>
      </c>
      <c r="H1124" s="4">
        <f t="shared" si="737"/>
        <v>0.53037170864213101</v>
      </c>
      <c r="I1124" s="4">
        <f t="shared" si="737"/>
        <v>0.67936372695245617</v>
      </c>
      <c r="J1124" s="4">
        <f t="shared" si="737"/>
        <v>0.57675260471612722</v>
      </c>
      <c r="K1124" s="4">
        <f t="shared" si="737"/>
        <v>0.86013316293611464</v>
      </c>
    </row>
    <row r="1125" spans="2:11" x14ac:dyDescent="0.25">
      <c r="B1125" s="5" t="str">
        <f t="shared" si="703"/>
        <v>SPS2</v>
      </c>
      <c r="C1125" s="5" t="str">
        <f t="shared" si="726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38">IFERROR(G1088/G1006,"-")</f>
        <v>-</v>
      </c>
      <c r="H1125" s="4">
        <f t="shared" si="738"/>
        <v>2.0656188230820072</v>
      </c>
      <c r="I1125" s="4">
        <f t="shared" si="738"/>
        <v>2.3286234217563697</v>
      </c>
      <c r="J1125" s="4">
        <f t="shared" si="738"/>
        <v>2.5835416607265187</v>
      </c>
      <c r="K1125" s="4">
        <f t="shared" si="738"/>
        <v>3.1026399842800698</v>
      </c>
    </row>
    <row r="1126" spans="2:11" x14ac:dyDescent="0.25">
      <c r="B1126" s="5" t="str">
        <f t="shared" si="703"/>
        <v>SPS2</v>
      </c>
      <c r="C1126" s="5" t="str">
        <f t="shared" si="726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03"/>
        <v>SPS2</v>
      </c>
      <c r="C1127" s="5" t="str">
        <f t="shared" si="726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03"/>
        <v>SPS2</v>
      </c>
      <c r="C1128" s="5" t="str">
        <f t="shared" si="726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03"/>
        <v>SPS2</v>
      </c>
      <c r="C1129" s="5" t="str">
        <f t="shared" si="726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03"/>
        <v>SPS2</v>
      </c>
      <c r="C1130" s="5" t="str">
        <f t="shared" si="726"/>
        <v>CH</v>
      </c>
      <c r="D1130" t="s">
        <v>1112</v>
      </c>
      <c r="E1130" t="s">
        <v>240</v>
      </c>
      <c r="F1130" s="4">
        <f>IFERROR(F1098/F1022,"-")</f>
        <v>0.49999999999999933</v>
      </c>
      <c r="G1130" s="4">
        <f t="shared" ref="G1130:K1130" si="739">IFERROR(G1098/G1022,"-")</f>
        <v>0.50000000000000022</v>
      </c>
      <c r="H1130" s="4">
        <f t="shared" si="739"/>
        <v>0.43785456578719201</v>
      </c>
      <c r="I1130" s="4">
        <f t="shared" si="739"/>
        <v>0.4530713467116953</v>
      </c>
      <c r="J1130" s="4">
        <f t="shared" si="739"/>
        <v>0.4759122997282309</v>
      </c>
      <c r="K1130" s="4">
        <f t="shared" si="739"/>
        <v>0.50135707476130542</v>
      </c>
    </row>
    <row r="1131" spans="2:11" x14ac:dyDescent="0.25">
      <c r="B1131" s="5" t="str">
        <f t="shared" si="703"/>
        <v>SPS2</v>
      </c>
      <c r="C1131" s="5" t="str">
        <f t="shared" si="726"/>
        <v>CH</v>
      </c>
      <c r="D1131" t="s">
        <v>1113</v>
      </c>
      <c r="E1131" t="s">
        <v>240</v>
      </c>
      <c r="F1131" s="4">
        <f>IFERROR(F1100/F1027,"-")</f>
        <v>0.62500000000000044</v>
      </c>
      <c r="G1131" s="4">
        <f t="shared" ref="G1131:K1131" si="740">IFERROR(G1100/G1027,"-")</f>
        <v>0.62499999999999911</v>
      </c>
      <c r="H1131" s="4">
        <f t="shared" si="740"/>
        <v>0.45413210768272411</v>
      </c>
      <c r="I1131" s="4">
        <f t="shared" si="740"/>
        <v>0.46684089975714493</v>
      </c>
      <c r="J1131" s="4">
        <f t="shared" si="740"/>
        <v>0.48473823207476047</v>
      </c>
      <c r="K1131" s="4">
        <f t="shared" si="740"/>
        <v>0.50083656559634004</v>
      </c>
    </row>
    <row r="1132" spans="2:11" x14ac:dyDescent="0.25">
      <c r="B1132" s="5" t="str">
        <f t="shared" si="703"/>
        <v>SPS2</v>
      </c>
      <c r="C1132" s="5" t="str">
        <f t="shared" si="726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03"/>
        <v>SPS2</v>
      </c>
      <c r="C1133" s="5" t="str">
        <f t="shared" si="726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41">IFERROR(G1104/G1039,"-")</f>
        <v>-</v>
      </c>
      <c r="H1133" s="4" t="str">
        <f t="shared" si="741"/>
        <v>-</v>
      </c>
      <c r="I1133" s="4" t="str">
        <f t="shared" si="741"/>
        <v>-</v>
      </c>
      <c r="J1133" s="4" t="str">
        <f t="shared" si="741"/>
        <v>-</v>
      </c>
      <c r="K1133" s="4" t="str">
        <f t="shared" si="741"/>
        <v>-</v>
      </c>
    </row>
    <row r="1134" spans="2:11" x14ac:dyDescent="0.25">
      <c r="B1134" s="9" t="str">
        <f t="shared" si="703"/>
        <v>SPS2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42">F1135+F1150+F1155+F1178+F1201</f>
        <v>138.14665325631637</v>
      </c>
      <c r="G1134" s="3">
        <f t="shared" si="742"/>
        <v>137.47478627626728</v>
      </c>
      <c r="H1134" s="3">
        <f t="shared" si="742"/>
        <v>113.95683894750742</v>
      </c>
      <c r="I1134" s="3">
        <f t="shared" si="742"/>
        <v>81.962415587965239</v>
      </c>
      <c r="J1134" s="3">
        <f t="shared" si="742"/>
        <v>54.049964484548397</v>
      </c>
      <c r="K1134" s="3">
        <f t="shared" si="742"/>
        <v>51.856837929489551</v>
      </c>
    </row>
    <row r="1135" spans="2:11" x14ac:dyDescent="0.25">
      <c r="B1135" s="5" t="str">
        <f t="shared" si="703"/>
        <v>SPS2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2.7162907776947076</v>
      </c>
      <c r="G1135" s="1">
        <f t="shared" ref="G1135:K1135" si="743">SUM(G1136:G1149)</f>
        <v>3.3068811214977267</v>
      </c>
      <c r="H1135" s="1">
        <f t="shared" si="743"/>
        <v>9.8366635671069211</v>
      </c>
      <c r="I1135" s="1">
        <f t="shared" si="743"/>
        <v>23.783632508077702</v>
      </c>
      <c r="J1135" s="1">
        <f t="shared" si="743"/>
        <v>38.053264300190435</v>
      </c>
      <c r="K1135" s="1">
        <f t="shared" si="743"/>
        <v>44.91158034819604</v>
      </c>
    </row>
    <row r="1136" spans="2:11" x14ac:dyDescent="0.25">
      <c r="B1136" s="5" t="str">
        <f t="shared" si="703"/>
        <v>SPS2</v>
      </c>
      <c r="C1136" s="5" t="str">
        <f t="shared" ref="C1136:C1215" si="744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0.46789328662571289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2.9825927928584552E-2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0.26222877328753436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0.1130956630652535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03"/>
        <v>SPS2</v>
      </c>
      <c r="C1137" s="5" t="str">
        <f t="shared" si="744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0.11483218659797856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0.2806139374889759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0.53562696974921131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0.96021785854364361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1.0809729974347457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1.078934666867988</v>
      </c>
    </row>
    <row r="1138" spans="2:11" x14ac:dyDescent="0.25">
      <c r="B1138" s="5" t="str">
        <f t="shared" si="703"/>
        <v>SPS2</v>
      </c>
      <c r="C1138" s="5" t="str">
        <f t="shared" si="744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0.57062830787235708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0.59222558826481031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2.2385732216083518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6.9327741882413703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11.756974697547392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10.498097772099799</v>
      </c>
    </row>
    <row r="1139" spans="2:11" x14ac:dyDescent="0.25">
      <c r="B1139" s="5" t="str">
        <f t="shared" si="703"/>
        <v>SPS2</v>
      </c>
      <c r="C1139" s="5" t="str">
        <f t="shared" si="744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0.56887449749192331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0.57632570262020522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0.54317092403261047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0.43004581998903241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0.45220892744989555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3.5342635771244972</v>
      </c>
    </row>
    <row r="1140" spans="2:11" x14ac:dyDescent="0.25">
      <c r="B1140" s="5" t="str">
        <f t="shared" ref="B1140:B1203" si="745">B1139</f>
        <v>SPS2</v>
      </c>
      <c r="C1140" s="5" t="str">
        <f t="shared" si="744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0.99203425664956357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1.8268769278373396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5.7474101779489315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12.425973906023021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16.485222438097683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15.124662478147417</v>
      </c>
    </row>
    <row r="1141" spans="2:11" x14ac:dyDescent="0.25">
      <c r="B1141" s="5" t="str">
        <f t="shared" si="745"/>
        <v>SPS2</v>
      </c>
      <c r="C1141" s="5" t="str">
        <f t="shared" si="744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5.4349456656163896E-5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1.5727158189896232E-4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4.1716754884575143E-4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4.3222704692618828E-4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3.591672339762034E-4</v>
      </c>
    </row>
    <row r="1142" spans="2:11" x14ac:dyDescent="0.25">
      <c r="B1142" s="5" t="str">
        <f t="shared" si="745"/>
        <v>SPS2</v>
      </c>
      <c r="C1142" s="5" t="str">
        <f t="shared" si="744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2.02824245717245E-3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2.6014174626031377E-4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1.3026170774128509E-3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1.9804809611299819E-2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4.3563074005427346E-3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1.8948788076448564E-3</v>
      </c>
    </row>
    <row r="1143" spans="2:11" x14ac:dyDescent="0.25">
      <c r="B1143" s="5" t="str">
        <f t="shared" si="745"/>
        <v>SPS2</v>
      </c>
      <c r="C1143" s="5" t="str">
        <f t="shared" si="744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8.8253971887665829E-5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0.35541716119032651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1.3626206425972394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3.3597201739340261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2.6164847515292995</v>
      </c>
    </row>
    <row r="1144" spans="2:11" x14ac:dyDescent="0.25">
      <c r="B1144" s="5" t="str">
        <f t="shared" si="745"/>
        <v>SPS2</v>
      </c>
      <c r="C1144" s="5" t="str">
        <f t="shared" si="744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7.3368542200239519E-5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1.0634591728451846E-2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2.8381095237838681E-2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4.3575901103967913E-3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2.9651468487962365E-3</v>
      </c>
    </row>
    <row r="1145" spans="2:11" x14ac:dyDescent="0.25">
      <c r="B1145" s="5" t="str">
        <f t="shared" si="745"/>
        <v>SPS2</v>
      </c>
      <c r="C1145" s="5" t="str">
        <f t="shared" ref="C1145:C1149" si="746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3.4434932108299876E-5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1.4389417163520642E-4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4.1531097031651649E-4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4.4377007430797532E-4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3.6219105757696787E-4</v>
      </c>
    </row>
    <row r="1146" spans="2:11" x14ac:dyDescent="0.25">
      <c r="B1146" s="5" t="str">
        <f t="shared" si="745"/>
        <v>SPS2</v>
      </c>
      <c r="C1146" s="5" t="str">
        <f t="shared" si="746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0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4.0783834928944984E-5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6.7148445298320961E-4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0.14089627039935379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2.0651723874432301E-2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1.7802966979403527E-3</v>
      </c>
    </row>
    <row r="1147" spans="2:11" x14ac:dyDescent="0.25">
      <c r="B1147" s="5" t="str">
        <f t="shared" si="745"/>
        <v>SPS2</v>
      </c>
      <c r="C1147" s="5" t="str">
        <f t="shared" si="746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1.6639973965241388E-4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0.1402430982022545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0.78752994944663524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2.3200732396945316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1.8247798946787461</v>
      </c>
    </row>
    <row r="1148" spans="2:11" x14ac:dyDescent="0.25">
      <c r="B1148" s="5" t="str">
        <f t="shared" si="745"/>
        <v>SPS2</v>
      </c>
      <c r="C1148" s="5" t="str">
        <f t="shared" si="746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2.9530513411636221E-4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1.0833820753158321E-3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1.1498508273032315E-2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5.8087846376165698E-3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2.6355280592267583E-3</v>
      </c>
    </row>
    <row r="1149" spans="2:11" x14ac:dyDescent="0.25">
      <c r="B1149" s="5" t="str">
        <f t="shared" si="745"/>
        <v>SPS2</v>
      </c>
      <c r="C1149" s="5" t="str">
        <f t="shared" si="746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0.56996131813081363</v>
      </c>
      <c r="J1149" s="1">
        <f>[1]Transport!F$32</f>
        <v>2.5620414228879524</v>
      </c>
      <c r="K1149" s="1">
        <f>[1]Transport!G$32</f>
        <v>10.224359999043134</v>
      </c>
    </row>
    <row r="1150" spans="2:11" x14ac:dyDescent="0.25">
      <c r="B1150" s="5" t="str">
        <f t="shared" si="745"/>
        <v>SPS2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7.688357369109003E-4</v>
      </c>
      <c r="G1150" s="1">
        <f t="shared" ref="G1150:K1150" si="747">SUM(G1151:G1154)</f>
        <v>2.4604020427857359E-3</v>
      </c>
      <c r="H1150" s="1">
        <f t="shared" si="747"/>
        <v>2.9734235307224033E-3</v>
      </c>
      <c r="I1150" s="1">
        <f t="shared" si="747"/>
        <v>3.4700745899801529E-3</v>
      </c>
      <c r="J1150" s="1">
        <f t="shared" si="747"/>
        <v>0.24034280285951062</v>
      </c>
      <c r="K1150" s="1">
        <f t="shared" si="747"/>
        <v>0.69228480401588988</v>
      </c>
    </row>
    <row r="1151" spans="2:11" x14ac:dyDescent="0.25">
      <c r="B1151" s="5" t="str">
        <f t="shared" si="745"/>
        <v>SPS2</v>
      </c>
      <c r="C1151" s="5" t="str">
        <f t="shared" si="744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1.0598005330229651E-4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2.5201589532072133E-4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4.6241010474994078E-4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0.23543515537117066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0.12136625971081878</v>
      </c>
    </row>
    <row r="1152" spans="2:11" x14ac:dyDescent="0.25">
      <c r="B1152" s="5" t="str">
        <f t="shared" si="745"/>
        <v>SPS2</v>
      </c>
      <c r="C1152" s="5" t="str">
        <f t="shared" si="744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7.8712010391962005E-5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2.034262358563721E-4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3.7844054689925333E-4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5.6898117315303421E-4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8.457091488589867E-4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4.7833917163351593E-4</v>
      </c>
    </row>
    <row r="1153" spans="2:11" x14ac:dyDescent="0.25">
      <c r="B1153" s="5" t="str">
        <f t="shared" si="745"/>
        <v>SPS2</v>
      </c>
      <c r="C1153" s="5" t="str">
        <f t="shared" si="744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6.9012372651893828E-4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1.9935179965109026E-3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2.0020462350946954E-3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1.8870269804438526E-3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8.0442215475179976E-4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5.3404671293634683E-4</v>
      </c>
    </row>
    <row r="1154" spans="2:11" x14ac:dyDescent="0.25">
      <c r="B1154" s="5" t="str">
        <f t="shared" si="745"/>
        <v>SPS2</v>
      </c>
      <c r="C1154" s="5" t="str">
        <f t="shared" si="744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1.5747775711616465E-4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3.409208534077333E-4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5.516563316333256E-4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3.2575161847292027E-3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0.56990615842050119</v>
      </c>
    </row>
    <row r="1155" spans="2:11" x14ac:dyDescent="0.25">
      <c r="B1155" s="5" t="str">
        <f t="shared" si="745"/>
        <v>SPS2</v>
      </c>
      <c r="C1155" s="5" t="str">
        <f t="shared" si="744"/>
        <v>CH</v>
      </c>
      <c r="D1155" t="s">
        <v>1258</v>
      </c>
      <c r="E1155" t="s">
        <v>8</v>
      </c>
      <c r="F1155" s="1">
        <f>SUM(F1160:F1177)</f>
        <v>68.35968767376464</v>
      </c>
      <c r="G1155" s="1">
        <f t="shared" ref="G1155:K1155" si="748">SUM(G1160:G1177)</f>
        <v>75.274335386891295</v>
      </c>
      <c r="H1155" s="1">
        <f t="shared" si="748"/>
        <v>66.555694576462358</v>
      </c>
      <c r="I1155" s="1">
        <f t="shared" si="748"/>
        <v>36.989384794073516</v>
      </c>
      <c r="J1155" s="1">
        <f t="shared" si="748"/>
        <v>9.2103517217028603</v>
      </c>
      <c r="K1155" s="1">
        <f t="shared" si="748"/>
        <v>3.705721168830503</v>
      </c>
    </row>
    <row r="1156" spans="2:11" x14ac:dyDescent="0.25">
      <c r="B1156" s="5" t="str">
        <f t="shared" si="745"/>
        <v>SPS2</v>
      </c>
      <c r="C1156" s="5" t="str">
        <f t="shared" si="744"/>
        <v>CH</v>
      </c>
      <c r="D1156" t="s">
        <v>1259</v>
      </c>
      <c r="E1156" t="str">
        <f>E1155</f>
        <v>PJ/yr.</v>
      </c>
      <c r="F1156" s="1">
        <f>F1155-F1157</f>
        <v>64.617678567271696</v>
      </c>
      <c r="G1156" s="1">
        <f t="shared" ref="G1156:K1156" si="749">G1155-G1157</f>
        <v>71.153690715638618</v>
      </c>
      <c r="H1156" s="1">
        <f t="shared" si="749"/>
        <v>62.91219349689095</v>
      </c>
      <c r="I1156" s="1">
        <f t="shared" si="749"/>
        <v>34.189060531018498</v>
      </c>
      <c r="J1156" s="1">
        <f t="shared" si="749"/>
        <v>6.9785260681580699</v>
      </c>
      <c r="K1156" s="1">
        <f t="shared" si="749"/>
        <v>-4.5065548721556326E-2</v>
      </c>
    </row>
    <row r="1157" spans="2:11" x14ac:dyDescent="0.25">
      <c r="B1157" s="5" t="str">
        <f t="shared" si="745"/>
        <v>SPS2</v>
      </c>
      <c r="C1157" s="5" t="str">
        <f t="shared" si="744"/>
        <v>CH</v>
      </c>
      <c r="D1157" t="s">
        <v>1260</v>
      </c>
      <c r="E1157" t="str">
        <f>E1156</f>
        <v>PJ/yr.</v>
      </c>
      <c r="F1157" s="1">
        <f>SUM(F1158:F1159)</f>
        <v>3.7420091064929495</v>
      </c>
      <c r="G1157" s="1">
        <f t="shared" ref="G1157" si="750">SUM(G1158:G1159)</f>
        <v>4.1206446712526823</v>
      </c>
      <c r="H1157" s="1">
        <f t="shared" ref="H1157" si="751">SUM(H1158:H1159)</f>
        <v>3.6435010795714073</v>
      </c>
      <c r="I1157" s="1">
        <f t="shared" ref="I1157" si="752">SUM(I1158:I1159)</f>
        <v>2.800324263055014</v>
      </c>
      <c r="J1157" s="1">
        <f t="shared" ref="J1157" si="753">SUM(J1158:J1159)</f>
        <v>2.23182565354479</v>
      </c>
      <c r="K1157" s="1">
        <f t="shared" ref="K1157" si="754">SUM(K1158:K1159)</f>
        <v>3.7507867175520593</v>
      </c>
    </row>
    <row r="1158" spans="2:11" x14ac:dyDescent="0.25">
      <c r="B1158" s="5" t="str">
        <f t="shared" si="745"/>
        <v>SPS2</v>
      </c>
      <c r="C1158" s="5" t="str">
        <f t="shared" si="744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3.7420091064929495</v>
      </c>
      <c r="G1158" s="1">
        <f>[1]Transport!C$25/SUM([1]Transport!C$21,[1]Transport!C$25)*G1155*(G$34+G$598)/(G$34+G$598+G$37)</f>
        <v>4.1206446712526823</v>
      </c>
      <c r="H1158" s="1">
        <f>[1]Transport!D$25/SUM([1]Transport!D$21,[1]Transport!D$25)*H1155*(H$34+H$598)/(H$34+H$598+H$37)</f>
        <v>3.6435010795714073</v>
      </c>
      <c r="I1158" s="1">
        <f>[1]Transport!E$25/SUM([1]Transport!E$21,[1]Transport!E$25)*I1155*(I$34+I$598)/(I$34+I$598+I$37)</f>
        <v>2.800324263055014</v>
      </c>
      <c r="J1158" s="1">
        <f>[1]Transport!F$25/SUM([1]Transport!F$21,[1]Transport!F$25)*J1155*(J$34+J$598)/(J$34+J$598+J$37)</f>
        <v>0.99293701049507266</v>
      </c>
      <c r="K1158" s="1">
        <f>[1]Transport!G$25/SUM([1]Transport!G$21,[1]Transport!G$25)*K1155*(K$34+K$598)/(K$34+K$598+K$37)</f>
        <v>0.68433464996419091</v>
      </c>
    </row>
    <row r="1159" spans="2:11" x14ac:dyDescent="0.25">
      <c r="B1159" s="5" t="str">
        <f t="shared" si="745"/>
        <v>SPS2</v>
      </c>
      <c r="C1159" s="5" t="str">
        <f t="shared" si="744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1.2388886430497175</v>
      </c>
      <c r="K1159" s="1">
        <f>(K$37+K$717)/([1]Transport!G$21+[1]Transport!G$25)*K1155</f>
        <v>3.0664520675878686</v>
      </c>
    </row>
    <row r="1160" spans="2:11" x14ac:dyDescent="0.25">
      <c r="B1160" s="5" t="str">
        <f t="shared" si="745"/>
        <v>SPS2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1.2540536096522514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1.2428800873933237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0.92517274852237674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0.43896340295393083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45"/>
        <v>SPS2</v>
      </c>
      <c r="C1161" s="5" t="str">
        <f t="shared" si="744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2.2409134200796928E-2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3.597676842869299E-2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2.5786710731994261E-2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2.2917907959148841E-2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3.2256555658270371E-3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9.0161264699743619E-4</v>
      </c>
    </row>
    <row r="1162" spans="2:11" x14ac:dyDescent="0.25">
      <c r="B1162" s="5" t="str">
        <f t="shared" si="745"/>
        <v>SPS2</v>
      </c>
      <c r="C1162" s="5" t="str">
        <f t="shared" si="744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9.7979969226132183E-2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0.15638296544037533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0.15133228473054747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0.1262518486250879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1.771125658330937E-3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4.4532416980169238E-4</v>
      </c>
    </row>
    <row r="1163" spans="2:11" x14ac:dyDescent="0.25">
      <c r="B1163" s="5" t="str">
        <f t="shared" si="745"/>
        <v>SPS2</v>
      </c>
      <c r="C1163" s="5" t="str">
        <f t="shared" si="744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7.6492718071936958E-2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1.5205111433239145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1.435202251676456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1.155961196100292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8.7286222181312664E-4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2.4243003820219027E-4</v>
      </c>
    </row>
    <row r="1164" spans="2:11" x14ac:dyDescent="0.25">
      <c r="B1164" s="5" t="str">
        <f t="shared" si="745"/>
        <v>SPS2</v>
      </c>
      <c r="C1164" s="5" t="str">
        <f t="shared" si="744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5.8252932121490984E-2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0.12620672692142038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0.12098959230311566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0.10324845543641605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1.0494957779366566E-3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2.9955343110907355E-4</v>
      </c>
    </row>
    <row r="1165" spans="2:11" x14ac:dyDescent="0.25">
      <c r="B1165" s="5" t="str">
        <f t="shared" si="745"/>
        <v>SPS2</v>
      </c>
      <c r="C1165" s="5" t="str">
        <f t="shared" si="744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63.987646829983092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64.702994146050585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54.255654277714108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22.086201587649647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45"/>
        <v>SPS2</v>
      </c>
      <c r="C1166" s="5" t="str">
        <f t="shared" si="744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0.113471753633477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0.21054680257887676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0.14550033376001881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0.11244899425545779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1.9283152161738526E-3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3.6035518897682207E-4</v>
      </c>
    </row>
    <row r="1167" spans="2:11" x14ac:dyDescent="0.25">
      <c r="B1167" s="5" t="str">
        <f t="shared" si="745"/>
        <v>SPS2</v>
      </c>
      <c r="C1167" s="5" t="str">
        <f t="shared" si="744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1.3966203492043483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2.4875395117537322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2.4148740309565264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1.9670865740201664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1.5202803821137E-3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2.9848030291739603E-4</v>
      </c>
    </row>
    <row r="1168" spans="2:11" x14ac:dyDescent="0.25">
      <c r="B1168" s="5" t="str">
        <f t="shared" si="745"/>
        <v>SPS2</v>
      </c>
      <c r="C1168" s="5" t="str">
        <f t="shared" si="744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0.69655691436060485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1.5972620884964324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1.5094567147405018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1.2321624557917219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1.6924296160313722E-3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3.165948577854565E-4</v>
      </c>
    </row>
    <row r="1169" spans="2:18" x14ac:dyDescent="0.25">
      <c r="B1169" s="5" t="str">
        <f t="shared" si="745"/>
        <v>SPS2</v>
      </c>
      <c r="C1169" s="5" t="str">
        <f t="shared" si="744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0.49477340386404078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1.3584773558162004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1.2729928160168402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1.0043131717456253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2.8353841047261776E-2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5.8161281767497219E-3</v>
      </c>
    </row>
    <row r="1170" spans="2:18" x14ac:dyDescent="0.25">
      <c r="B1170" s="5" t="str">
        <f t="shared" si="745"/>
        <v>SPS2</v>
      </c>
      <c r="C1170" s="5" t="str">
        <f t="shared" si="744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3.8108291731094843E-4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1.2064050715555018E-3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1.6431480740109305E-3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8.6739458154005131E-4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2.3041645239123447E-4</v>
      </c>
    </row>
    <row r="1171" spans="2:18" x14ac:dyDescent="0.25">
      <c r="B1171" s="5" t="str">
        <f t="shared" si="745"/>
        <v>SPS2</v>
      </c>
      <c r="C1171" s="5" t="str">
        <f t="shared" si="744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3.6036155572696929E-4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1.0896616425999897E-3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1.4773203130189862E-3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9.6754920691718765E-4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2.8399732117716665E-4</v>
      </c>
    </row>
    <row r="1172" spans="2:18" x14ac:dyDescent="0.25">
      <c r="B1172" s="5" t="str">
        <f t="shared" si="745"/>
        <v>SPS2</v>
      </c>
      <c r="C1172" s="5" t="str">
        <f t="shared" si="744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4.8658036999012872E-4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1.1319743834234518E-3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1.4643527854313252E-3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1.0492125347435633E-3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3.0657348304567711E-4</v>
      </c>
    </row>
    <row r="1173" spans="2:18" x14ac:dyDescent="0.25">
      <c r="B1173" s="5" t="str">
        <f t="shared" si="745"/>
        <v>SPS2</v>
      </c>
      <c r="C1173" s="5" t="str">
        <f t="shared" si="744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6.3978512264601002E-4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1.4609466512847072E-3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1.8854198478305702E-3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1.5399343136736096E-3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5.1554030328146297E-4</v>
      </c>
    </row>
    <row r="1174" spans="2:18" x14ac:dyDescent="0.25">
      <c r="B1174" s="5" t="str">
        <f t="shared" si="745"/>
        <v>SPS2</v>
      </c>
      <c r="C1174" s="5" t="str">
        <f t="shared" si="744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2.4232181322587541E-4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1.2514225127812049E-3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2.8118463717766219E-3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4.2371651070576529E-3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2.0165418300916683E-3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8.6278444497036775E-4</v>
      </c>
    </row>
    <row r="1175" spans="2:18" x14ac:dyDescent="0.25">
      <c r="B1175" s="5" t="str">
        <f t="shared" si="745"/>
        <v>SPS2</v>
      </c>
      <c r="C1175" s="5" t="str">
        <f t="shared" si="744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4.2884166087655176E-2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0.12508422403035876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0.19603152410719851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0.16627288352269151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1.669668880152617E-2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3.7220852344328459E-3</v>
      </c>
    </row>
    <row r="1176" spans="2:18" x14ac:dyDescent="0.25">
      <c r="B1176" s="5" t="str">
        <f t="shared" si="745"/>
        <v>SPS2</v>
      </c>
      <c r="C1176" s="5" t="str">
        <f t="shared" si="744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6.1064858709235892E-2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1.4293106256668247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3.8452885912320425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8.3709016438069082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9.1333564982927165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3.6864559751266976</v>
      </c>
    </row>
    <row r="1177" spans="2:18" x14ac:dyDescent="0.25">
      <c r="B1177" s="5" t="str">
        <f t="shared" si="745"/>
        <v>SPS2</v>
      </c>
      <c r="C1177" s="5" t="str">
        <f t="shared" si="744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5.7238712836344408E-2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0.27804370851208454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0.2497118658499867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0.19194726607907245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1.3443896656162751E-2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4.663317651966847E-3</v>
      </c>
    </row>
    <row r="1178" spans="2:18" x14ac:dyDescent="0.25">
      <c r="B1178" s="5" t="str">
        <f t="shared" si="745"/>
        <v>SPS2</v>
      </c>
      <c r="C1178" s="5" t="str">
        <f t="shared" si="744"/>
        <v>CH</v>
      </c>
      <c r="D1178" t="s">
        <v>1281</v>
      </c>
      <c r="E1178" t="s">
        <v>8</v>
      </c>
      <c r="F1178" s="1">
        <f>SUM(F1183:F1200)</f>
        <v>66.956647967417865</v>
      </c>
      <c r="G1178" s="1">
        <f t="shared" ref="G1178:K1178" si="755">SUM(G1183:G1200)</f>
        <v>58.77883559322391</v>
      </c>
      <c r="H1178" s="1">
        <f t="shared" si="755"/>
        <v>37.451209571729329</v>
      </c>
      <c r="I1178" s="1">
        <f t="shared" si="755"/>
        <v>21.184973449720744</v>
      </c>
      <c r="J1178" s="1">
        <f t="shared" si="755"/>
        <v>6.5455641028297684</v>
      </c>
      <c r="K1178" s="1">
        <f t="shared" si="755"/>
        <v>2.5471521666852563</v>
      </c>
    </row>
    <row r="1179" spans="2:18" x14ac:dyDescent="0.25">
      <c r="B1179" s="5" t="str">
        <f t="shared" si="745"/>
        <v>SPS2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65.387016933938582</v>
      </c>
      <c r="G1179" s="1">
        <f t="shared" ref="G1179:K1179" si="756">G1178-G1180</f>
        <v>57.247025423467221</v>
      </c>
      <c r="H1179" s="1">
        <f t="shared" si="756"/>
        <v>36.157022684598708</v>
      </c>
      <c r="I1179" s="1">
        <f t="shared" si="756"/>
        <v>20.129166177718915</v>
      </c>
      <c r="J1179" s="1">
        <f t="shared" si="756"/>
        <v>5.2435256074940142</v>
      </c>
      <c r="K1179" s="1">
        <f t="shared" si="756"/>
        <v>-0.11653833346704934</v>
      </c>
    </row>
    <row r="1180" spans="2:18" x14ac:dyDescent="0.25">
      <c r="B1180" s="5" t="str">
        <f t="shared" si="745"/>
        <v>SPS2</v>
      </c>
      <c r="C1180" s="5" t="str">
        <f t="shared" ref="C1180:C1182" si="757">C1179</f>
        <v>CH</v>
      </c>
      <c r="D1180" t="s">
        <v>1283</v>
      </c>
      <c r="E1180" t="str">
        <f t="shared" ref="E1180:E1182" si="758">E1179</f>
        <v>PJ/yr.</v>
      </c>
      <c r="F1180" s="1">
        <f>SUM(F1181:F1182)</f>
        <v>1.5696310334792869</v>
      </c>
      <c r="G1180" s="1">
        <f t="shared" ref="G1180" si="759">SUM(G1181:G1182)</f>
        <v>1.5318101697566908</v>
      </c>
      <c r="H1180" s="1">
        <f t="shared" ref="H1180" si="760">SUM(H1181:H1182)</f>
        <v>1.2941868871306237</v>
      </c>
      <c r="I1180" s="1">
        <f t="shared" ref="I1180" si="761">SUM(I1181:I1182)</f>
        <v>1.0558072720018303</v>
      </c>
      <c r="J1180" s="1">
        <f t="shared" ref="J1180" si="762">SUM(J1181:J1182)</f>
        <v>1.3020384953357547</v>
      </c>
      <c r="K1180" s="1">
        <f t="shared" ref="K1180" si="763">SUM(K1181:K1182)</f>
        <v>2.6636905001523057</v>
      </c>
    </row>
    <row r="1181" spans="2:18" x14ac:dyDescent="0.25">
      <c r="B1181" s="5" t="str">
        <f t="shared" si="745"/>
        <v>SPS2</v>
      </c>
      <c r="C1181" s="5" t="str">
        <f t="shared" si="757"/>
        <v>CH</v>
      </c>
      <c r="D1181" t="s">
        <v>1284</v>
      </c>
      <c r="E1181" t="str">
        <f t="shared" si="758"/>
        <v>PJ/yr.</v>
      </c>
      <c r="F1181" s="1">
        <f>[1]Transport!B$26/SUM([1]Transport!B$22,[1]Transport!B$26)*F1178*(F$33+F$580)/(F$33+F$580+F$36)</f>
        <v>1.5696310334792869</v>
      </c>
      <c r="G1181" s="1">
        <f>[1]Transport!C$26/SUM([1]Transport!C$22,[1]Transport!C$26)*G1178*(G$33+G$580)/(G$33+G$580+G$36)</f>
        <v>1.5318101697566908</v>
      </c>
      <c r="H1181" s="1">
        <f>[1]Transport!D$26/SUM([1]Transport!D$22,[1]Transport!D$26)*H1178*(H$33+H$580)/(H$33+H$580+H$36)</f>
        <v>1.2941868871306237</v>
      </c>
      <c r="I1181" s="1">
        <f>[1]Transport!E$26/SUM([1]Transport!E$22,[1]Transport!E$26)*I1178*(I$33+I$580)/(I$33+I$580+I$36)</f>
        <v>1.0558072720018303</v>
      </c>
      <c r="J1181" s="1">
        <f>[1]Transport!F$26/SUM([1]Transport!F$22,[1]Transport!F$26)*J1178*(J$33+J$580)/(J$33+J$580+J$36)</f>
        <v>0.53810456258790418</v>
      </c>
      <c r="K1181" s="1">
        <f>[1]Transport!G$26/SUM([1]Transport!G$22,[1]Transport!G$26)*K1178*(K$33+K$580)/(K$33+K$580+K$36)</f>
        <v>0.63801135209699844</v>
      </c>
    </row>
    <row r="1182" spans="2:18" x14ac:dyDescent="0.25">
      <c r="B1182" s="5" t="str">
        <f t="shared" si="745"/>
        <v>SPS2</v>
      </c>
      <c r="C1182" s="5" t="str">
        <f t="shared" si="757"/>
        <v>CH</v>
      </c>
      <c r="D1182" t="s">
        <v>1285</v>
      </c>
      <c r="E1182" t="str">
        <f t="shared" si="758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0.7639339327478506</v>
      </c>
      <c r="K1182" s="1">
        <f>(K$36+K$716)/([1]Transport!G$22+[1]Transport!G$26)*K1178</f>
        <v>2.0256791480553074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 t="shared" si="745"/>
        <v>SPS2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45"/>
        <v>SPS2</v>
      </c>
      <c r="C1184" s="5" t="str">
        <f t="shared" si="744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3.4182343217849451E-5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6.0723121447857733E-4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3.363017584781693E-3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3.2641179057394708E-3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1.3680896111429922E-3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3.90502211766918E-4</v>
      </c>
      <c r="R1184" s="1"/>
    </row>
    <row r="1185" spans="2:11" x14ac:dyDescent="0.25">
      <c r="B1185" s="5" t="str">
        <f t="shared" si="745"/>
        <v>SPS2</v>
      </c>
      <c r="C1185" s="5" t="str">
        <f t="shared" si="744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2.9088915231688835E-3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0.88081146548562972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0.92504061906305524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0.75021882281800467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6.8289434791880821E-3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4.2338360112665003E-4</v>
      </c>
    </row>
    <row r="1186" spans="2:11" x14ac:dyDescent="0.25">
      <c r="B1186" s="5" t="str">
        <f t="shared" si="745"/>
        <v>SPS2</v>
      </c>
      <c r="C1186" s="5" t="str">
        <f t="shared" si="744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3.0285346128920167E-2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4.5996361550152617E-2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4.4191035007227264E-2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3.3317468980626298E-2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6.5451418483754309E-4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2.4302339794512478E-4</v>
      </c>
    </row>
    <row r="1187" spans="2:11" x14ac:dyDescent="0.25">
      <c r="B1187" s="5" t="str">
        <f t="shared" si="745"/>
        <v>SPS2</v>
      </c>
      <c r="C1187" s="5" t="str">
        <f t="shared" si="744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3.5654535069212699E-2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0.3008038061467419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0.28419526923971111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0.22954672487654407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7.9023784788004423E-4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3.1418575917399979E-4</v>
      </c>
    </row>
    <row r="1188" spans="2:11" x14ac:dyDescent="0.25">
      <c r="B1188" s="5" t="str">
        <f t="shared" si="745"/>
        <v>SPS2</v>
      </c>
      <c r="C1188" s="5" t="str">
        <f t="shared" si="744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58.662396289378428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48.700907696412571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24.503723060988584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7.6266768098186768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45"/>
        <v>SPS2</v>
      </c>
      <c r="C1189" s="5" t="str">
        <f t="shared" si="744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5.5332174279804254E-3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5.8391889280511545E-3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4.7348386361561572E-3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3.6341592970709014E-3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3.6864425233517338E-4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6.6288506613519473E-5</v>
      </c>
    </row>
    <row r="1190" spans="2:11" x14ac:dyDescent="0.25">
      <c r="B1190" s="5" t="str">
        <f t="shared" si="745"/>
        <v>SPS2</v>
      </c>
      <c r="C1190" s="5" t="str">
        <f t="shared" si="744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1.2221430091446817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1.2829949267128213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1.1119737148786879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0.83031743515897172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4.23606484214597E-4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8.2300492545711324E-5</v>
      </c>
    </row>
    <row r="1191" spans="2:11" x14ac:dyDescent="0.25">
      <c r="B1191" s="5" t="str">
        <f t="shared" si="745"/>
        <v>SPS2</v>
      </c>
      <c r="C1191" s="5" t="str">
        <f t="shared" si="744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5.0491983844371564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5.3267857487543413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5.2752489037269115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4.0290412494525105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4.2243303773329809E-4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8.3045115458686274E-5</v>
      </c>
    </row>
    <row r="1192" spans="2:11" x14ac:dyDescent="0.25">
      <c r="B1192" s="5" t="str">
        <f t="shared" si="745"/>
        <v>SPS2</v>
      </c>
      <c r="C1192" s="5" t="str">
        <f t="shared" si="744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1.9421070489956715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2.210644255745879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2.1705404354136539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1.6622071134489029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3.6007163524700555E-4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7.1452902548314073E-5</v>
      </c>
    </row>
    <row r="1193" spans="2:11" x14ac:dyDescent="0.25">
      <c r="B1193" s="5" t="str">
        <f t="shared" si="745"/>
        <v>SPS2</v>
      </c>
      <c r="C1193" s="5" t="str">
        <f t="shared" si="744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2.8078767749822273E-4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8.4743787987717073E-4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1.1518453404115812E-3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7.0738190871210023E-4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2.0775744313284214E-4</v>
      </c>
    </row>
    <row r="1194" spans="2:11" x14ac:dyDescent="0.25">
      <c r="B1194" s="5" t="str">
        <f t="shared" si="745"/>
        <v>SPS2</v>
      </c>
      <c r="C1194" s="5" t="str">
        <f t="shared" si="744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2.747625940170337E-4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8.3841244221023064E-4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1.1376135714800946E-3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7.8670263986179768E-4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2.3922434450439703E-4</v>
      </c>
    </row>
    <row r="1195" spans="2:11" x14ac:dyDescent="0.25">
      <c r="B1195" s="5" t="str">
        <f t="shared" si="745"/>
        <v>SPS2</v>
      </c>
      <c r="C1195" s="5" t="str">
        <f t="shared" si="744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3.467151999536766E-4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8.3860220474092878E-4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1.0946636914075905E-3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8.2945115885917748E-4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2.5203244687119165E-4</v>
      </c>
    </row>
    <row r="1196" spans="2:11" x14ac:dyDescent="0.25">
      <c r="B1196" s="5" t="str">
        <f t="shared" si="745"/>
        <v>SPS2</v>
      </c>
      <c r="C1196" s="5" t="str">
        <f t="shared" si="744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2.9401641076950568E-4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6.7509959227165053E-4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8.6810619988488837E-4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6.5273658240694841E-4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2.0470059552680678E-4</v>
      </c>
    </row>
    <row r="1197" spans="2:11" x14ac:dyDescent="0.25">
      <c r="B1197" s="5" t="str">
        <f t="shared" si="745"/>
        <v>SPS2</v>
      </c>
      <c r="C1197" s="5" t="str">
        <f t="shared" si="744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1.8653712855466184E-5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7.6765886113650851E-4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2.5230380736180578E-3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4.1345624171452051E-3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2.0324879492475711E-3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8.5201539972872215E-4</v>
      </c>
    </row>
    <row r="1198" spans="2:11" x14ac:dyDescent="0.25">
      <c r="B1198" s="5" t="str">
        <f t="shared" si="745"/>
        <v>SPS2</v>
      </c>
      <c r="C1198" s="5" t="str">
        <f t="shared" si="744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1.0710247161790992E-5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7.6263013835664876E-4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1.5903815102015155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1.1639967044451802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7.9638659372650716E-2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3.4429642479148329E-3</v>
      </c>
    </row>
    <row r="1199" spans="2:11" x14ac:dyDescent="0.25">
      <c r="B1199" s="5" t="str">
        <f t="shared" si="745"/>
        <v>SPS2</v>
      </c>
      <c r="C1199" s="5" t="str">
        <f t="shared" si="744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1.1527699470945863E-4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2.7108395054584234E-3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1.495264841139297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4.7676647015626852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6.4318920137357241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2.5361891691654508</v>
      </c>
    </row>
    <row r="1200" spans="2:11" x14ac:dyDescent="0.25">
      <c r="B1200" s="5" t="str">
        <f t="shared" si="745"/>
        <v>SPS2</v>
      </c>
      <c r="C1200" s="5" t="str">
        <f t="shared" si="744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6.2424220147111412E-3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1.8007501886064134E-2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3.6829735657032958E-2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7.6701350735502799E-2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1.7808128949727095E-2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4.0901210549477837E-3</v>
      </c>
    </row>
    <row r="1201" spans="2:11" x14ac:dyDescent="0.25">
      <c r="B1201" s="5" t="str">
        <f t="shared" si="745"/>
        <v>SPS2</v>
      </c>
      <c r="C1201" s="5" t="str">
        <f t="shared" si="744"/>
        <v>CH</v>
      </c>
      <c r="D1201" t="s">
        <v>1304</v>
      </c>
      <c r="E1201" t="s">
        <v>8</v>
      </c>
      <c r="F1201" s="1">
        <f>SUM(F1206:F1210)</f>
        <v>0.11325800170226652</v>
      </c>
      <c r="G1201" s="1">
        <f t="shared" ref="G1201:K1201" si="764">SUM(G1206:G1210)</f>
        <v>0.11227377261155319</v>
      </c>
      <c r="H1201" s="1">
        <f t="shared" si="764"/>
        <v>0.11029780867808536</v>
      </c>
      <c r="I1201" s="1">
        <f t="shared" si="764"/>
        <v>9.5476150329267461E-4</v>
      </c>
      <c r="J1201" s="1">
        <f t="shared" si="764"/>
        <v>4.415569658249393E-4</v>
      </c>
      <c r="K1201" s="1">
        <f t="shared" si="764"/>
        <v>9.9441761861575521E-5</v>
      </c>
    </row>
    <row r="1202" spans="2:11" x14ac:dyDescent="0.25">
      <c r="B1202" s="5" t="str">
        <f t="shared" si="745"/>
        <v>SPS2</v>
      </c>
      <c r="C1202" s="5" t="str">
        <f t="shared" si="744"/>
        <v>CH</v>
      </c>
      <c r="D1202" t="s">
        <v>1336</v>
      </c>
      <c r="E1202" t="s">
        <v>8</v>
      </c>
      <c r="F1202" s="1">
        <f>F1201-F1203</f>
        <v>0.1047336051715223</v>
      </c>
      <c r="G1202" s="1">
        <f t="shared" ref="G1202:K1202" si="765">G1201-G1203</f>
        <v>0.10158726445747301</v>
      </c>
      <c r="H1202" s="1">
        <f t="shared" si="765"/>
        <v>9.9731241640877627E-2</v>
      </c>
      <c r="I1202" s="1">
        <f t="shared" si="765"/>
        <v>7.5808318911016123E-4</v>
      </c>
      <c r="J1202" s="1">
        <f t="shared" si="765"/>
        <v>-0.12516373205907988</v>
      </c>
      <c r="K1202" s="1">
        <f t="shared" si="765"/>
        <v>-2.73319733069268</v>
      </c>
    </row>
    <row r="1203" spans="2:11" x14ac:dyDescent="0.25">
      <c r="B1203" s="5" t="str">
        <f t="shared" si="745"/>
        <v>SPS2</v>
      </c>
      <c r="C1203" s="5" t="str">
        <f t="shared" si="744"/>
        <v>CH</v>
      </c>
      <c r="D1203" t="s">
        <v>1337</v>
      </c>
      <c r="E1203" t="s">
        <v>8</v>
      </c>
      <c r="F1203" s="1">
        <f>SUM(F1204:F1205)</f>
        <v>8.5243965307442229E-3</v>
      </c>
      <c r="G1203" s="1">
        <f t="shared" ref="G1203" si="766">SUM(G1204:G1205)</f>
        <v>1.068650815408018E-2</v>
      </c>
      <c r="H1203" s="1">
        <f t="shared" ref="H1203" si="767">SUM(H1204:H1205)</f>
        <v>1.0566567037207738E-2</v>
      </c>
      <c r="I1203" s="1">
        <f t="shared" ref="I1203" si="768">SUM(I1204:I1205)</f>
        <v>1.9667831418251338E-4</v>
      </c>
      <c r="J1203" s="1">
        <f t="shared" ref="J1203" si="769">SUM(J1204:J1205)</f>
        <v>0.12560528902490481</v>
      </c>
      <c r="K1203" s="1">
        <f t="shared" ref="K1203" si="770">SUM(K1204:K1205)</f>
        <v>2.7332967724545414</v>
      </c>
    </row>
    <row r="1204" spans="2:11" x14ac:dyDescent="0.25">
      <c r="B1204" s="5" t="str">
        <f t="shared" ref="B1204:B1267" si="771">B1203</f>
        <v>SPS2</v>
      </c>
      <c r="C1204" s="5" t="str">
        <f t="shared" si="744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8.5243965307442229E-3</v>
      </c>
      <c r="G1204" s="1">
        <f>[1]Transport!C$27/SUM([1]Transport!C$24,[1]Transport!C$27)*G1201*(G$45+G$612)/(G$45+G$612+G$47)</f>
        <v>1.068650815408018E-2</v>
      </c>
      <c r="H1204" s="1">
        <f>[1]Transport!D$27/SUM([1]Transport!D$24,[1]Transport!D$27)*H1201*(H$45+H$612)/(H$45+H$612+H$47)</f>
        <v>1.0566567037207738E-2</v>
      </c>
      <c r="I1204" s="1">
        <f>[1]Transport!E$27/SUM([1]Transport!E$24,[1]Transport!E$27)*I1201*(I$45+I$612)/(I$45+I$612+I$47)</f>
        <v>1.9667831418251338E-4</v>
      </c>
      <c r="J1204" s="1">
        <f>[1]Transport!F$27/SUM([1]Transport!F$24,[1]Transport!F$27)*J1201*(J$45+J$612)/(J$45+J$612+J$47)</f>
        <v>1.0785061204087275E-4</v>
      </c>
      <c r="K1204" s="1">
        <f>[1]Transport!G$27/SUM([1]Transport!G$24,[1]Transport!G$27)*K1201*(K$45+K$612)/(K$45+K$612+K$47)</f>
        <v>4.9609425288456604E-5</v>
      </c>
    </row>
    <row r="1205" spans="2:11" x14ac:dyDescent="0.25">
      <c r="B1205" s="5" t="str">
        <f t="shared" si="771"/>
        <v>SPS2</v>
      </c>
      <c r="C1205" s="5" t="str">
        <f t="shared" si="744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0.12549743841286393</v>
      </c>
      <c r="K1205" s="1">
        <f>(K$47+K$714)/([1]Transport!G$24+[1]Transport!G$27)*K1201</f>
        <v>2.7332471630292527</v>
      </c>
    </row>
    <row r="1206" spans="2:11" x14ac:dyDescent="0.25">
      <c r="B1206" s="5" t="str">
        <f t="shared" si="771"/>
        <v>SPS2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71"/>
        <v>SPS2</v>
      </c>
      <c r="C1207" s="5" t="str">
        <f t="shared" si="744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3.8859561823255035E-3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2.1941756042721835E-3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1.802778566603815E-3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1.7987790772166134E-4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5.8360721048663414E-5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1.1318377464383784E-5</v>
      </c>
    </row>
    <row r="1208" spans="2:11" x14ac:dyDescent="0.25">
      <c r="B1208" s="5" t="str">
        <f t="shared" si="771"/>
        <v>SPS2</v>
      </c>
      <c r="C1208" s="5" t="str">
        <f t="shared" si="744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5.6167917377868332E-2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5.7975497671327932E-2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5.973836887381756E-2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1.5863107483061705E-4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1.0929846019862545E-4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2.4948325557918649E-5</v>
      </c>
    </row>
    <row r="1209" spans="2:11" x14ac:dyDescent="0.25">
      <c r="B1209" s="5" t="str">
        <f t="shared" si="771"/>
        <v>SPS2</v>
      </c>
      <c r="C1209" s="5" t="str">
        <f t="shared" si="744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4.704495624903958E-3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4.8900874081638191E-3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4.839622846761509E-3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5.1575994195110324E-4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1.4148918956018855E-4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3.2678533059325794E-5</v>
      </c>
    </row>
    <row r="1210" spans="2:11" x14ac:dyDescent="0.25">
      <c r="B1210" s="5" t="str">
        <f t="shared" si="771"/>
        <v>SPS2</v>
      </c>
      <c r="C1210" s="5" t="str">
        <f t="shared" si="744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4.8499632517168732E-2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4.7214011927789255E-2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4.3917038390902483E-2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1.0049257878929294E-4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1.3240859501746188E-4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3.0496525779947288E-5</v>
      </c>
    </row>
    <row r="1211" spans="2:11" x14ac:dyDescent="0.25">
      <c r="B1211" s="5" t="str">
        <f t="shared" si="771"/>
        <v>SPS2</v>
      </c>
      <c r="C1211" s="5" t="str">
        <f t="shared" si="744"/>
        <v>CH</v>
      </c>
      <c r="D1211" s="2" t="s">
        <v>1133</v>
      </c>
      <c r="E1211" s="2" t="s">
        <v>1132</v>
      </c>
      <c r="F1211" s="3">
        <f>SUM(F1212:F1261)</f>
        <v>49.003270582567815</v>
      </c>
      <c r="G1211" s="3">
        <f t="shared" ref="G1211:K1211" si="772">SUM(G1212:G1261)</f>
        <v>57.664194402747036</v>
      </c>
      <c r="H1211" s="3">
        <f t="shared" si="772"/>
        <v>58.440189276326421</v>
      </c>
      <c r="I1211" s="3">
        <f t="shared" si="772"/>
        <v>62.339371757271174</v>
      </c>
      <c r="J1211" s="3">
        <f t="shared" si="772"/>
        <v>62.344587417708176</v>
      </c>
      <c r="K1211" s="3">
        <f t="shared" si="772"/>
        <v>61.150572253128345</v>
      </c>
    </row>
    <row r="1212" spans="2:11" x14ac:dyDescent="0.25">
      <c r="B1212" s="5" t="str">
        <f t="shared" si="771"/>
        <v>SPS2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0.41619669051238956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2.8541783626684698E-2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0.27746306732419873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0.13873206028169188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71"/>
        <v>SPS2</v>
      </c>
      <c r="C1213" s="5" t="str">
        <f t="shared" si="744"/>
        <v>CH</v>
      </c>
      <c r="D1213" t="s">
        <v>1135</v>
      </c>
      <c r="E1213" t="str">
        <f t="shared" ref="E1213:E1261" si="77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0.20803825411602075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0.50838040592406863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0.97038036934883409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1.7395997827838992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2.0688190964769153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2.2932862670270056</v>
      </c>
    </row>
    <row r="1214" spans="2:11" x14ac:dyDescent="0.25">
      <c r="B1214" s="5" t="str">
        <f t="shared" si="771"/>
        <v>SPS2</v>
      </c>
      <c r="C1214" s="5" t="str">
        <f t="shared" si="744"/>
        <v>CH</v>
      </c>
      <c r="D1214" t="s">
        <v>1136</v>
      </c>
      <c r="E1214" t="str">
        <f t="shared" si="77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0.83528472823201538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0.86689878984495139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3.2768196026070009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10.148182843067911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18.281451345267303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18.035505986247241</v>
      </c>
    </row>
    <row r="1215" spans="2:11" x14ac:dyDescent="0.25">
      <c r="B1215" s="5" t="str">
        <f t="shared" si="771"/>
        <v>SPS2</v>
      </c>
      <c r="C1215" s="5" t="str">
        <f t="shared" si="744"/>
        <v>CH</v>
      </c>
      <c r="D1215" t="s">
        <v>1137</v>
      </c>
      <c r="E1215" t="str">
        <f t="shared" si="77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0.76084274693845466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0.77080838154292308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0.7264654325692228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0.57516595388335268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0.64190526334682574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5.7829739759154988</v>
      </c>
    </row>
    <row r="1216" spans="2:11" x14ac:dyDescent="0.25">
      <c r="B1216" s="5" t="str">
        <f t="shared" si="771"/>
        <v>SPS2</v>
      </c>
      <c r="C1216" s="5" t="str">
        <f t="shared" ref="C1216:C1262" si="774">C1215</f>
        <v>CH</v>
      </c>
      <c r="D1216" t="s">
        <v>1138</v>
      </c>
      <c r="E1216" t="str">
        <f t="shared" si="77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1.284657501588371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2.3657561561949207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7.442740560939777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16.091299756952672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22.783692922274344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22.954683060626067</v>
      </c>
    </row>
    <row r="1217" spans="2:11" x14ac:dyDescent="0.25">
      <c r="B1217" s="5" t="str">
        <f t="shared" si="771"/>
        <v>SPS2</v>
      </c>
      <c r="C1217" s="5" t="str">
        <f t="shared" si="774"/>
        <v>CH</v>
      </c>
      <c r="D1217" t="s">
        <v>1139</v>
      </c>
      <c r="E1217" t="str">
        <f t="shared" si="77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1.7225866495319795E-4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9.9145126459707707E-4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2.2924530980136162E-3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3.7816944699226944E-3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2.3564370827474849E-3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1.4072364907761023E-3</v>
      </c>
    </row>
    <row r="1218" spans="2:11" x14ac:dyDescent="0.25">
      <c r="B1218" s="5" t="str">
        <f t="shared" si="771"/>
        <v>SPS2</v>
      </c>
      <c r="C1218" s="5" t="str">
        <f t="shared" si="774"/>
        <v>CH</v>
      </c>
      <c r="D1218" t="s">
        <v>1140</v>
      </c>
      <c r="E1218" t="str">
        <f t="shared" si="77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2.8181512715982442E-2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7.3693580392804658E-2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0.11683699844329004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0.12720870254541089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1.7676243158684827E-2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5.7248702874699601E-3</v>
      </c>
    </row>
    <row r="1219" spans="2:11" x14ac:dyDescent="0.25">
      <c r="B1219" s="5" t="str">
        <f t="shared" si="771"/>
        <v>SPS2</v>
      </c>
      <c r="C1219" s="5" t="str">
        <f t="shared" si="774"/>
        <v>CH</v>
      </c>
      <c r="D1219" t="s">
        <v>1141</v>
      </c>
      <c r="E1219" t="str">
        <f t="shared" si="77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3.3312875921740953E-2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0.7798682248289126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2.5957477419299257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6.4758935666009982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10.704063402263174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6.6533824791501521</v>
      </c>
    </row>
    <row r="1220" spans="2:11" x14ac:dyDescent="0.25">
      <c r="B1220" s="5" t="str">
        <f t="shared" si="771"/>
        <v>SPS2</v>
      </c>
      <c r="C1220" s="5" t="str">
        <f t="shared" si="774"/>
        <v>CH</v>
      </c>
      <c r="D1220" t="s">
        <v>1142</v>
      </c>
      <c r="E1220" t="str">
        <f t="shared" si="77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2.9749827274204107E-2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0.14461392637807488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0.14403440894640157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0.13778018815296367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1.3709681890123551E-2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7.2527188731881373E-3</v>
      </c>
    </row>
    <row r="1221" spans="2:11" x14ac:dyDescent="0.25">
      <c r="B1221" s="5" t="str">
        <f t="shared" si="771"/>
        <v>SPS2</v>
      </c>
      <c r="C1221" s="5" t="str">
        <f t="shared" si="774"/>
        <v>CH</v>
      </c>
      <c r="D1221" t="s">
        <v>1143</v>
      </c>
      <c r="E1221" t="str">
        <f t="shared" si="77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1.3587470692216193E-5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6.1964563498300069E-4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2.0974785078132913E-3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3.7646568546445712E-3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2.4200048004144208E-3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1.4147508473709332E-3</v>
      </c>
    </row>
    <row r="1222" spans="2:11" x14ac:dyDescent="0.25">
      <c r="B1222" s="5" t="str">
        <f t="shared" si="771"/>
        <v>SPS2</v>
      </c>
      <c r="C1222" s="5" t="str">
        <f t="shared" si="774"/>
        <v>CH</v>
      </c>
      <c r="D1222" t="s">
        <v>1144</v>
      </c>
      <c r="E1222" t="str">
        <f t="shared" si="77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3.5588997132629885E-6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5.1318321107247868E-4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0.94811726303789201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0.90497183293973749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8.5111373313188049E-2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5.3706226845105362E-3</v>
      </c>
    </row>
    <row r="1223" spans="2:11" x14ac:dyDescent="0.25">
      <c r="B1223" s="5" t="str">
        <f t="shared" si="771"/>
        <v>SPS2</v>
      </c>
      <c r="C1223" s="5" t="str">
        <f t="shared" si="774"/>
        <v>CH</v>
      </c>
      <c r="D1223" t="s">
        <v>1145</v>
      </c>
      <c r="E1223" t="str">
        <f t="shared" si="77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6.3410158999949428E-5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1.7336979738783891E-3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1.0242572803127954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3.7427582185878463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7.3884035928621463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4.6404420273912264</v>
      </c>
    </row>
    <row r="1224" spans="2:11" x14ac:dyDescent="0.25">
      <c r="B1224" s="5" t="str">
        <f t="shared" si="771"/>
        <v>SPS2</v>
      </c>
      <c r="C1224" s="5" t="str">
        <f t="shared" si="774"/>
        <v>CH</v>
      </c>
      <c r="D1224" t="s">
        <v>1146</v>
      </c>
      <c r="E1224" t="str">
        <f t="shared" si="77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3.2893647621760115E-3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9.8854105335524269E-3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2.0860561088962563E-2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5.5822736691683722E-2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1.832756420715214E-2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6.4355053898103795E-3</v>
      </c>
    </row>
    <row r="1225" spans="2:11" x14ac:dyDescent="0.25">
      <c r="B1225" s="5" t="str">
        <f t="shared" si="771"/>
        <v>SPS2</v>
      </c>
      <c r="C1225" s="5" t="str">
        <f t="shared" si="774"/>
        <v>CH</v>
      </c>
      <c r="D1225" t="s">
        <v>1147</v>
      </c>
      <c r="E1225" t="str">
        <f t="shared" si="77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1.1621451161172024E-4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2.7635298606189105E-4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5.0706489394334263E-4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0.2902322727107744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0.1498305207518274</v>
      </c>
    </row>
    <row r="1226" spans="2:11" x14ac:dyDescent="0.25">
      <c r="B1226" s="5" t="str">
        <f t="shared" si="771"/>
        <v>SPS2</v>
      </c>
      <c r="C1226" s="5" t="str">
        <f t="shared" si="774"/>
        <v>CH</v>
      </c>
      <c r="D1226" t="s">
        <v>1148</v>
      </c>
      <c r="E1226" t="str">
        <f t="shared" si="77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7.0171379294210558E-5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1.8135351242570642E-4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3.3737793031249808E-4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5.0724398365339831E-4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8.216669146680083E-4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4.9965913357189688E-4</v>
      </c>
    </row>
    <row r="1227" spans="2:11" x14ac:dyDescent="0.25">
      <c r="B1227" s="5" t="str">
        <f t="shared" si="771"/>
        <v>SPS2</v>
      </c>
      <c r="C1227" s="5" t="str">
        <f t="shared" si="774"/>
        <v>CH</v>
      </c>
      <c r="D1227" t="s">
        <v>1149</v>
      </c>
      <c r="E1227" t="str">
        <f t="shared" si="77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5.7280619370811533E-4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1.6546300493534771E-3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1.6617085306380684E-3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1.5662419658352337E-3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7.3020894112732113E-4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5.2729942831651014E-4</v>
      </c>
    </row>
    <row r="1228" spans="2:11" x14ac:dyDescent="0.25">
      <c r="B1228" s="5" t="str">
        <f t="shared" si="771"/>
        <v>SPS2</v>
      </c>
      <c r="C1228" s="5" t="str">
        <f t="shared" si="774"/>
        <v>CH</v>
      </c>
      <c r="D1228" t="s">
        <v>1150</v>
      </c>
      <c r="E1228" t="str">
        <f t="shared" si="77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1.3176995750643471E-4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2.8526648581524155E-4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4.6159999169823892E-4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3.0258117891631101E-3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0.60432595917889076</v>
      </c>
    </row>
    <row r="1229" spans="2:11" x14ac:dyDescent="0.25">
      <c r="B1229" s="5" t="str">
        <f t="shared" si="771"/>
        <v>SPS2</v>
      </c>
      <c r="C1229" s="5" t="str">
        <f t="shared" si="774"/>
        <v>CH</v>
      </c>
      <c r="D1229" t="s">
        <v>1234</v>
      </c>
      <c r="E1229" t="str">
        <f t="shared" si="77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0.61924583726809934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0.62769447556433533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0.48283609379931081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0.24142094101318698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771"/>
        <v>SPS2</v>
      </c>
      <c r="C1230" s="5" t="str">
        <f t="shared" si="774"/>
        <v>CH</v>
      </c>
      <c r="D1230" t="s">
        <v>1151</v>
      </c>
      <c r="E1230" t="str">
        <f t="shared" si="77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3.3620226289281997E-2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5.1285820332814973E-2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3.6518092562334584E-2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3.1626823812245936E-2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3.0026542237808905E-3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8.4166545001816283E-4</v>
      </c>
    </row>
    <row r="1231" spans="2:11" x14ac:dyDescent="0.25">
      <c r="B1231" s="5" t="str">
        <f t="shared" si="771"/>
        <v>SPS2</v>
      </c>
      <c r="C1231" s="5" t="str">
        <f t="shared" si="774"/>
        <v>CH</v>
      </c>
      <c r="D1231" t="s">
        <v>1152</v>
      </c>
      <c r="E1231" t="str">
        <f t="shared" si="77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0.1960942182949699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0.35770022163147613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0.34523469045879823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0.28404918688730019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1.5146172429586582E-3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3.5003745719594238E-4</v>
      </c>
    </row>
    <row r="1232" spans="2:11" x14ac:dyDescent="0.25">
      <c r="B1232" s="5" t="str">
        <f t="shared" si="771"/>
        <v>SPS2</v>
      </c>
      <c r="C1232" s="5" t="str">
        <f t="shared" si="774"/>
        <v>CH</v>
      </c>
      <c r="D1232" t="s">
        <v>1153</v>
      </c>
      <c r="E1232" t="str">
        <f t="shared" si="77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0.1893762946559126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3.8750096140767587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3.6581105918908294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2.94738591798628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6.3233594300878546E-4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1.7207051212277561E-4</v>
      </c>
    </row>
    <row r="1233" spans="2:11" x14ac:dyDescent="0.25">
      <c r="B1233" s="5" t="str">
        <f t="shared" si="771"/>
        <v>SPS2</v>
      </c>
      <c r="C1233" s="5" t="str">
        <f t="shared" si="774"/>
        <v>CH</v>
      </c>
      <c r="D1233" t="s">
        <v>1154</v>
      </c>
      <c r="E1233" t="str">
        <f t="shared" si="77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7.1535963390433041E-2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0.1789274347642362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0.17112127447368325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0.14468481056675822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7.3918162509761429E-4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2.0957604888417094E-4</v>
      </c>
    </row>
    <row r="1234" spans="2:11" x14ac:dyDescent="0.25">
      <c r="B1234" s="5" t="str">
        <f t="shared" si="771"/>
        <v>SPS2</v>
      </c>
      <c r="C1234" s="5" t="str">
        <f t="shared" si="774"/>
        <v>CH</v>
      </c>
      <c r="D1234" t="s">
        <v>1155</v>
      </c>
      <c r="E1234" t="str">
        <f t="shared" si="77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18.302988459180686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18.92876711358209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16.402149818510921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7.0363353513365325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771"/>
        <v>SPS2</v>
      </c>
      <c r="C1235" s="5" t="str">
        <f t="shared" si="774"/>
        <v>CH</v>
      </c>
      <c r="D1235" t="s">
        <v>1156</v>
      </c>
      <c r="E1235" t="str">
        <f t="shared" si="77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8.7137117498137767E-2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0.15418362019440551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0.10684397621640118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8.184232836595233E-2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1.1805355342520058E-3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2.263614390415576E-4</v>
      </c>
    </row>
    <row r="1236" spans="2:11" x14ac:dyDescent="0.25">
      <c r="B1236" s="5" t="str">
        <f t="shared" si="771"/>
        <v>SPS2</v>
      </c>
      <c r="C1236" s="5" t="str">
        <f t="shared" si="774"/>
        <v>CH</v>
      </c>
      <c r="D1236" t="s">
        <v>1157</v>
      </c>
      <c r="E1236" t="str">
        <f t="shared" si="77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0.86902384905724828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1.5502752590345434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1.5069041479737983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1.2286851165785846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7.618260858602698E-4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1.5059614995207337E-4</v>
      </c>
    </row>
    <row r="1237" spans="2:11" x14ac:dyDescent="0.25">
      <c r="B1237" s="5" t="str">
        <f t="shared" si="771"/>
        <v>SPS2</v>
      </c>
      <c r="C1237" s="5" t="str">
        <f t="shared" si="774"/>
        <v>CH</v>
      </c>
      <c r="D1237" t="s">
        <v>1158</v>
      </c>
      <c r="E1237" t="str">
        <f t="shared" si="77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0.3591189522328424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0.82813150366199961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0.78277326757594889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0.63952263080342353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7.8505981266869043E-4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1.4846772804936773E-4</v>
      </c>
    </row>
    <row r="1238" spans="2:11" x14ac:dyDescent="0.25">
      <c r="B1238" s="5" t="str">
        <f t="shared" si="771"/>
        <v>SPS2</v>
      </c>
      <c r="C1238" s="5" t="str">
        <f t="shared" si="774"/>
        <v>CH</v>
      </c>
      <c r="D1238" t="s">
        <v>1159</v>
      </c>
      <c r="E1238" t="str">
        <f t="shared" si="77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0.21027608163140338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0.58249538982385174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0.54588041217168393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0.43075744940148825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1.3402451468422725E-2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2.752767752499941E-3</v>
      </c>
    </row>
    <row r="1239" spans="2:11" x14ac:dyDescent="0.25">
      <c r="B1239" s="5" t="str">
        <f t="shared" si="771"/>
        <v>SPS2</v>
      </c>
      <c r="C1239" s="5" t="str">
        <f t="shared" si="774"/>
        <v>CH</v>
      </c>
      <c r="D1239" t="s">
        <v>1160</v>
      </c>
      <c r="E1239" t="str">
        <f t="shared" si="77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1.9754434362017573E-4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6.558998436155916E-4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9.3316612742438141E-4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5.8334818029252497E-4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1.6766712333642544E-4</v>
      </c>
    </row>
    <row r="1240" spans="2:11" x14ac:dyDescent="0.25">
      <c r="B1240" s="5" t="str">
        <f t="shared" si="771"/>
        <v>SPS2</v>
      </c>
      <c r="C1240" s="5" t="str">
        <f t="shared" si="774"/>
        <v>CH</v>
      </c>
      <c r="D1240" t="s">
        <v>1161</v>
      </c>
      <c r="E1240" t="str">
        <f t="shared" si="77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1.5039225102773149E-4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4.7669592436553351E-4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6.7674093289617524E-4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5.4069744122707249E-4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1.6876526687157305E-4</v>
      </c>
    </row>
    <row r="1241" spans="2:11" x14ac:dyDescent="0.25">
      <c r="B1241" s="5" t="str">
        <f t="shared" si="771"/>
        <v>SPS2</v>
      </c>
      <c r="C1241" s="5" t="str">
        <f t="shared" si="774"/>
        <v>CH</v>
      </c>
      <c r="D1241" t="s">
        <v>1162</v>
      </c>
      <c r="E1241" t="str">
        <f t="shared" si="77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1.8877854233112883E-4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4.5800258473013247E-4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6.2011242241734993E-4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5.5088360683443758E-4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1.6997180668957448E-4</v>
      </c>
    </row>
    <row r="1242" spans="2:11" x14ac:dyDescent="0.25">
      <c r="B1242" s="5" t="str">
        <f t="shared" si="771"/>
        <v>SPS2</v>
      </c>
      <c r="C1242" s="5" t="str">
        <f t="shared" si="774"/>
        <v>CH</v>
      </c>
      <c r="D1242" t="s">
        <v>1163</v>
      </c>
      <c r="E1242" t="str">
        <f t="shared" si="77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2.516432194387364E-4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5.9862905897753969E-4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8.068123994043469E-4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8.2249109774636055E-4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2.8866542391216927E-4</v>
      </c>
    </row>
    <row r="1243" spans="2:11" x14ac:dyDescent="0.25">
      <c r="B1243" s="5" t="str">
        <f t="shared" si="771"/>
        <v>SPS2</v>
      </c>
      <c r="C1243" s="5" t="str">
        <f t="shared" si="774"/>
        <v>CH</v>
      </c>
      <c r="D1243" t="s">
        <v>1236</v>
      </c>
      <c r="E1243" t="str">
        <f t="shared" si="77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771"/>
        <v>SPS2</v>
      </c>
      <c r="C1244" s="5" t="str">
        <f t="shared" si="774"/>
        <v>CH</v>
      </c>
      <c r="D1244" t="s">
        <v>1164</v>
      </c>
      <c r="E1244" t="str">
        <f t="shared" si="77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1.429646344195477E-5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9.9201810436186496E-4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4.7728571696319987E-3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4.4573918173161399E-3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1.394344698254082E-3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3.7059086611820332E-4</v>
      </c>
    </row>
    <row r="1245" spans="2:11" x14ac:dyDescent="0.25">
      <c r="B1245" s="5" t="str">
        <f t="shared" si="771"/>
        <v>SPS2</v>
      </c>
      <c r="C1245" s="5" t="str">
        <f t="shared" si="774"/>
        <v>CH</v>
      </c>
      <c r="D1245" t="s">
        <v>1165</v>
      </c>
      <c r="E1245" t="str">
        <f t="shared" si="77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3.4302939364248969E-3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2.3630417071116736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2.4126914859484252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1.9514065688721991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1.2103289586246511E-2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3.3488528728560176E-4</v>
      </c>
    </row>
    <row r="1246" spans="2:11" x14ac:dyDescent="0.25">
      <c r="B1246" s="5" t="str">
        <f t="shared" si="771"/>
        <v>SPS2</v>
      </c>
      <c r="C1246" s="5" t="str">
        <f t="shared" si="774"/>
        <v>CH</v>
      </c>
      <c r="D1246" t="s">
        <v>1166</v>
      </c>
      <c r="E1246" t="str">
        <f t="shared" si="77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2.6995876944799838E-2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5.4962730390467819E-2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5.2608910701806587E-2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4.201862845165609E-2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4.7264527957704169E-4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1.7292893660313501E-4</v>
      </c>
    </row>
    <row r="1247" spans="2:11" x14ac:dyDescent="0.25">
      <c r="B1247" s="5" t="str">
        <f t="shared" si="771"/>
        <v>SPS2</v>
      </c>
      <c r="C1247" s="5" t="str">
        <f t="shared" si="774"/>
        <v>CH</v>
      </c>
      <c r="D1247" t="s">
        <v>1167</v>
      </c>
      <c r="E1247" t="str">
        <f t="shared" si="77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4.7905312723405778E-2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0.49581622275451992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0.46891159832049673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0.38049759515806819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5.6379279635716741E-4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2.2048210839244645E-4</v>
      </c>
    </row>
    <row r="1248" spans="2:11" x14ac:dyDescent="0.25">
      <c r="B1248" s="5" t="str">
        <f t="shared" si="771"/>
        <v>SPS2</v>
      </c>
      <c r="C1248" s="5" t="str">
        <f t="shared" si="774"/>
        <v>CH</v>
      </c>
      <c r="D1248" t="s">
        <v>1168</v>
      </c>
      <c r="E1248" t="str">
        <f t="shared" si="77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19.887637610560077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17.235946276849489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9.2197200869079339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3.1536107063492698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771"/>
        <v>SPS2</v>
      </c>
      <c r="C1249" s="5" t="str">
        <f t="shared" si="774"/>
        <v>CH</v>
      </c>
      <c r="D1249" t="s">
        <v>1169</v>
      </c>
      <c r="E1249" t="str">
        <f t="shared" si="77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4.1612740796007934E-3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4.5142786769935576E-3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3.6741118289697686E-3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2.8666516839029343E-3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2.4178038004313195E-4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4.3172220031527076E-5</v>
      </c>
    </row>
    <row r="1250" spans="2:11" x14ac:dyDescent="0.25">
      <c r="B1250" s="5" t="str">
        <f t="shared" si="771"/>
        <v>SPS2</v>
      </c>
      <c r="C1250" s="5" t="str">
        <f t="shared" si="774"/>
        <v>CH</v>
      </c>
      <c r="D1250" t="s">
        <v>1170</v>
      </c>
      <c r="E1250" t="str">
        <f t="shared" si="77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0.85103086074516909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0.90297238766772558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0.81706345138066683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0.63312836199492006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2.2374385590229944E-4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4.3012346251645676E-5</v>
      </c>
    </row>
    <row r="1251" spans="2:11" x14ac:dyDescent="0.25">
      <c r="B1251" s="5" t="str">
        <f t="shared" si="771"/>
        <v>SPS2</v>
      </c>
      <c r="C1251" s="5" t="str">
        <f t="shared" si="774"/>
        <v>CH</v>
      </c>
      <c r="D1251" t="s">
        <v>1171</v>
      </c>
      <c r="E1251" t="str">
        <f t="shared" si="77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2.6650491325641368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2.8360939942157128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2.806195337690744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2.1805992559932683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2.0380421454846981E-4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4.0341389455856323E-5</v>
      </c>
    </row>
    <row r="1252" spans="2:11" x14ac:dyDescent="0.25">
      <c r="B1252" s="5" t="str">
        <f t="shared" si="771"/>
        <v>SPS2</v>
      </c>
      <c r="C1252" s="5" t="str">
        <f t="shared" si="774"/>
        <v>CH</v>
      </c>
      <c r="D1252" t="s">
        <v>1172</v>
      </c>
      <c r="E1252" t="str">
        <f t="shared" si="77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0.90500971417976661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1.0074982149976921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0.991510944180517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0.7708211402901104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1.611295789705606E-4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3.2800585560023637E-5</v>
      </c>
    </row>
    <row r="1253" spans="2:11" x14ac:dyDescent="0.25">
      <c r="B1253" s="5" t="str">
        <f t="shared" si="771"/>
        <v>SPS2</v>
      </c>
      <c r="C1253" s="5" t="str">
        <f t="shared" si="774"/>
        <v>CH</v>
      </c>
      <c r="D1253" t="s">
        <v>1173</v>
      </c>
      <c r="E1253" t="str">
        <f t="shared" si="77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1.5781262797114076E-4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4.9480488563723179E-4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6.9745594390222725E-4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4.9946711322257722E-4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1.5557093938544845E-4</v>
      </c>
    </row>
    <row r="1254" spans="2:11" x14ac:dyDescent="0.25">
      <c r="B1254" s="5" t="str">
        <f t="shared" si="771"/>
        <v>SPS2</v>
      </c>
      <c r="C1254" s="5" t="str">
        <f t="shared" si="774"/>
        <v>CH</v>
      </c>
      <c r="D1254" t="s">
        <v>1174</v>
      </c>
      <c r="E1254" t="str">
        <f t="shared" si="77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1.2422056926631706E-4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3.941071902512003E-4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5.5568080766172148E-4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4.5698295909180092E-4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1.4620223923310274E-4</v>
      </c>
    </row>
    <row r="1255" spans="2:11" x14ac:dyDescent="0.25">
      <c r="B1255" s="5" t="str">
        <f t="shared" si="771"/>
        <v>SPS2</v>
      </c>
      <c r="C1255" s="5" t="str">
        <f t="shared" si="774"/>
        <v>CH</v>
      </c>
      <c r="D1255" t="s">
        <v>1175</v>
      </c>
      <c r="E1255" t="str">
        <f t="shared" si="77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1.4571798303645954E-4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3.6519351954571627E-4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4.953391836540487E-4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4.5157427471202293E-4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1.4365370682555651E-4</v>
      </c>
    </row>
    <row r="1256" spans="2:11" x14ac:dyDescent="0.25">
      <c r="B1256" s="5" t="str">
        <f t="shared" si="771"/>
        <v>SPS2</v>
      </c>
      <c r="C1256" s="5" t="str">
        <f t="shared" si="774"/>
        <v>CH</v>
      </c>
      <c r="D1256" t="s">
        <v>1176</v>
      </c>
      <c r="E1256" t="str">
        <f t="shared" si="77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1.174401625609056E-4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2.7896407056578291E-4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3.7234395626717707E-4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3.3566058781687736E-4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1.1012312387567018E-4</v>
      </c>
    </row>
    <row r="1257" spans="2:11" x14ac:dyDescent="0.25">
      <c r="B1257" s="5" t="str">
        <f t="shared" si="771"/>
        <v>SPS2</v>
      </c>
      <c r="C1257" s="5" t="str">
        <f t="shared" si="774"/>
        <v>CH</v>
      </c>
      <c r="D1257" t="s">
        <v>1177</v>
      </c>
      <c r="E1257" t="str">
        <f t="shared" si="77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771"/>
        <v>SPS2</v>
      </c>
      <c r="C1258" s="5" t="str">
        <f t="shared" si="774"/>
        <v>CH</v>
      </c>
      <c r="D1258" t="s">
        <v>1178</v>
      </c>
      <c r="E1258" t="str">
        <f t="shared" si="77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2.3939321885553607E-3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1.4206093631391797E-3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1.1581514881030884E-3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1.1103863463257624E-4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3.5267842647402714E-5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6.9195694601735642E-6</v>
      </c>
    </row>
    <row r="1259" spans="2:11" x14ac:dyDescent="0.25">
      <c r="B1259" s="5" t="str">
        <f t="shared" si="771"/>
        <v>SPS2</v>
      </c>
      <c r="C1259" s="5" t="str">
        <f t="shared" si="774"/>
        <v>CH</v>
      </c>
      <c r="D1259" t="s">
        <v>1179</v>
      </c>
      <c r="E1259" t="str">
        <f t="shared" si="77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3.5462708715361876E-2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3.6227785432314225E-2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3.689101150649797E-2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8.2541723478643091E-5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5.2881462612361237E-5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1.2207923693032076E-5</v>
      </c>
    </row>
    <row r="1260" spans="2:11" x14ac:dyDescent="0.25">
      <c r="B1260" s="5" t="str">
        <f t="shared" si="771"/>
        <v>SPS2</v>
      </c>
      <c r="C1260" s="5" t="str">
        <f t="shared" si="774"/>
        <v>CH</v>
      </c>
      <c r="D1260" t="s">
        <v>1180</v>
      </c>
      <c r="E1260" t="str">
        <f t="shared" si="77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2.2029864274061535E-3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2.3122567741713246E-3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2.2875194719513894E-3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2.5042032829431903E-4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6.5911282259904102E-5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1.5351531710892552E-5</v>
      </c>
    </row>
    <row r="1261" spans="2:11" x14ac:dyDescent="0.25">
      <c r="B1261" s="5" t="str">
        <f t="shared" si="771"/>
        <v>SPS2</v>
      </c>
      <c r="C1261" s="5" t="str">
        <f t="shared" si="774"/>
        <v>CH</v>
      </c>
      <c r="D1261" t="s">
        <v>1181</v>
      </c>
      <c r="E1261" t="str">
        <f t="shared" si="77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3.3110288711948009E-2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3.2203312660690139E-2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2.9935222932312749E-2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4.9102800805499439E-5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6.2172234988971424E-5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1.4458772974271456E-5</v>
      </c>
    </row>
    <row r="1262" spans="2:11" x14ac:dyDescent="0.25">
      <c r="B1262" s="5" t="str">
        <f t="shared" si="771"/>
        <v>SPS2</v>
      </c>
      <c r="C1262" s="5" t="str">
        <f t="shared" si="774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 t="shared" si="771"/>
        <v>SPS2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775">IFERROR(F1212/F1136,"-")</f>
        <v>0.88951199431361461</v>
      </c>
      <c r="G1263" s="1">
        <f t="shared" si="775"/>
        <v>0.95694536964701926</v>
      </c>
      <c r="H1263" s="1">
        <f t="shared" si="775"/>
        <v>1.0580954326471259</v>
      </c>
      <c r="I1263" s="1">
        <f t="shared" si="775"/>
        <v>1.2266788709806387</v>
      </c>
      <c r="J1263" s="1" t="str">
        <f t="shared" si="775"/>
        <v>-</v>
      </c>
      <c r="K1263" s="1" t="str">
        <f t="shared" si="775"/>
        <v>-</v>
      </c>
    </row>
    <row r="1264" spans="2:11" x14ac:dyDescent="0.25">
      <c r="B1264" s="5" t="str">
        <f t="shared" si="771"/>
        <v>SPS2</v>
      </c>
      <c r="C1264" s="5" t="str">
        <f t="shared" ref="C1264:C1312" si="776">C1263</f>
        <v>CH</v>
      </c>
      <c r="D1264" t="s">
        <v>1183</v>
      </c>
      <c r="E1264" t="str">
        <f t="shared" ref="E1264:E1312" si="777">E1263</f>
        <v>km/MJ</v>
      </c>
      <c r="F1264" s="1">
        <f t="shared" si="775"/>
        <v>1.8116719735064502</v>
      </c>
      <c r="G1264" s="1">
        <f t="shared" si="775"/>
        <v>1.8116719735064504</v>
      </c>
      <c r="H1264" s="1">
        <f t="shared" si="775"/>
        <v>1.8116719735064515</v>
      </c>
      <c r="I1264" s="1">
        <f t="shared" si="775"/>
        <v>1.811671973506449</v>
      </c>
      <c r="J1264" s="1">
        <f t="shared" si="775"/>
        <v>1.9138490058368014</v>
      </c>
      <c r="K1264" s="1">
        <f t="shared" si="775"/>
        <v>2.1255098547200526</v>
      </c>
    </row>
    <row r="1265" spans="2:11" x14ac:dyDescent="0.25">
      <c r="B1265" s="5" t="str">
        <f t="shared" si="771"/>
        <v>SPS2</v>
      </c>
      <c r="C1265" s="5" t="str">
        <f t="shared" si="776"/>
        <v>CH</v>
      </c>
      <c r="D1265" t="s">
        <v>1184</v>
      </c>
      <c r="E1265" t="str">
        <f t="shared" si="777"/>
        <v>km/MJ</v>
      </c>
      <c r="F1265" s="1">
        <f t="shared" si="775"/>
        <v>1.4637982671179692</v>
      </c>
      <c r="G1265" s="1">
        <f t="shared" si="775"/>
        <v>1.4637982671179728</v>
      </c>
      <c r="H1265" s="1">
        <f t="shared" si="775"/>
        <v>1.4637982671179719</v>
      </c>
      <c r="I1265" s="1">
        <f t="shared" si="775"/>
        <v>1.4637982671179703</v>
      </c>
      <c r="J1265" s="1">
        <f t="shared" si="775"/>
        <v>1.5549451976860147</v>
      </c>
      <c r="K1265" s="1">
        <f t="shared" si="775"/>
        <v>1.7179784736030166</v>
      </c>
    </row>
    <row r="1266" spans="2:11" x14ac:dyDescent="0.25">
      <c r="B1266" s="5" t="str">
        <f t="shared" si="771"/>
        <v>SPS2</v>
      </c>
      <c r="C1266" s="5" t="str">
        <f t="shared" si="776"/>
        <v>CH</v>
      </c>
      <c r="D1266" t="s">
        <v>1185</v>
      </c>
      <c r="E1266" t="str">
        <f t="shared" si="777"/>
        <v>km/MJ</v>
      </c>
      <c r="F1266" s="1">
        <f t="shared" si="775"/>
        <v>1.3374527251492001</v>
      </c>
      <c r="G1266" s="1">
        <f t="shared" si="775"/>
        <v>1.3374527251492039</v>
      </c>
      <c r="H1266" s="1">
        <f t="shared" si="775"/>
        <v>1.3374527251491979</v>
      </c>
      <c r="I1266" s="1">
        <f t="shared" si="775"/>
        <v>1.3374527251491977</v>
      </c>
      <c r="J1266" s="1">
        <f t="shared" si="775"/>
        <v>1.4194882594792391</v>
      </c>
      <c r="K1266" s="1">
        <f t="shared" si="775"/>
        <v>1.6362599590324185</v>
      </c>
    </row>
    <row r="1267" spans="2:11" x14ac:dyDescent="0.25">
      <c r="B1267" s="5" t="str">
        <f t="shared" si="771"/>
        <v>SPS2</v>
      </c>
      <c r="C1267" s="5" t="str">
        <f t="shared" si="776"/>
        <v>CH</v>
      </c>
      <c r="D1267" t="s">
        <v>1186</v>
      </c>
      <c r="E1267" t="str">
        <f t="shared" si="777"/>
        <v>km/MJ</v>
      </c>
      <c r="F1267" s="1">
        <f t="shared" si="775"/>
        <v>1.2949729235430796</v>
      </c>
      <c r="G1267" s="1">
        <f t="shared" si="775"/>
        <v>1.2949729235430805</v>
      </c>
      <c r="H1267" s="1">
        <f t="shared" si="775"/>
        <v>1.2949729235430791</v>
      </c>
      <c r="I1267" s="1">
        <f t="shared" si="775"/>
        <v>1.2949729235430814</v>
      </c>
      <c r="J1267" s="1">
        <f t="shared" si="775"/>
        <v>1.382067667441403</v>
      </c>
      <c r="K1267" s="1">
        <f t="shared" si="775"/>
        <v>1.5176988639443496</v>
      </c>
    </row>
    <row r="1268" spans="2:11" x14ac:dyDescent="0.25">
      <c r="B1268" s="5" t="str">
        <f t="shared" ref="B1268:B1331" si="778">B1267</f>
        <v>SPS2</v>
      </c>
      <c r="C1268" s="5" t="str">
        <f t="shared" si="776"/>
        <v>CH</v>
      </c>
      <c r="D1268" t="s">
        <v>1187</v>
      </c>
      <c r="E1268" t="str">
        <f t="shared" si="777"/>
        <v>km/MJ</v>
      </c>
      <c r="F1268" s="1">
        <f t="shared" ref="F1268:K1271" si="779">IFERROR(F1217/SUM(F1141,F1174),"-")</f>
        <v>0.71086734891930881</v>
      </c>
      <c r="G1268" s="1">
        <f t="shared" si="779"/>
        <v>0.75928361750962825</v>
      </c>
      <c r="H1268" s="1">
        <f t="shared" si="779"/>
        <v>0.77209903202926011</v>
      </c>
      <c r="I1268" s="1">
        <f t="shared" si="779"/>
        <v>0.81251056800293719</v>
      </c>
      <c r="J1268" s="1">
        <f t="shared" si="779"/>
        <v>0.96229460642981779</v>
      </c>
      <c r="K1268" s="1">
        <f t="shared" si="779"/>
        <v>1.1516302281193826</v>
      </c>
    </row>
    <row r="1269" spans="2:11" x14ac:dyDescent="0.25">
      <c r="B1269" s="5" t="str">
        <f t="shared" si="778"/>
        <v>SPS2</v>
      </c>
      <c r="C1269" s="5" t="str">
        <f t="shared" si="776"/>
        <v>CH</v>
      </c>
      <c r="D1269" t="s">
        <v>1188</v>
      </c>
      <c r="E1269" t="str">
        <f t="shared" si="777"/>
        <v>km/MJ</v>
      </c>
      <c r="F1269" s="1">
        <f t="shared" si="779"/>
        <v>0.6274772079492047</v>
      </c>
      <c r="G1269" s="1">
        <f t="shared" si="779"/>
        <v>0.58792894228797454</v>
      </c>
      <c r="H1269" s="1">
        <f t="shared" si="779"/>
        <v>0.59207696013426236</v>
      </c>
      <c r="I1269" s="1">
        <f t="shared" si="779"/>
        <v>0.68363219901812788</v>
      </c>
      <c r="J1269" s="1">
        <f t="shared" si="779"/>
        <v>0.83960700838143698</v>
      </c>
      <c r="K1269" s="1">
        <f t="shared" si="779"/>
        <v>1.0192107773138499</v>
      </c>
    </row>
    <row r="1270" spans="2:11" x14ac:dyDescent="0.25">
      <c r="B1270" s="5" t="str">
        <f t="shared" si="778"/>
        <v>SPS2</v>
      </c>
      <c r="C1270" s="5" t="str">
        <f t="shared" si="776"/>
        <v>CH</v>
      </c>
      <c r="D1270" t="s">
        <v>1189</v>
      </c>
      <c r="E1270" t="str">
        <f t="shared" si="777"/>
        <v>km/MJ</v>
      </c>
      <c r="F1270" s="1">
        <f t="shared" si="779"/>
        <v>0.54553267830131691</v>
      </c>
      <c r="G1270" s="1">
        <f t="shared" si="779"/>
        <v>0.54559174205175553</v>
      </c>
      <c r="H1270" s="1">
        <f t="shared" si="779"/>
        <v>0.61793134175919562</v>
      </c>
      <c r="I1270" s="1">
        <f t="shared" si="779"/>
        <v>0.66531861499372869</v>
      </c>
      <c r="J1270" s="1">
        <f t="shared" si="779"/>
        <v>0.8567996245519961</v>
      </c>
      <c r="K1270" s="1">
        <f t="shared" si="779"/>
        <v>1.0555997220491204</v>
      </c>
    </row>
    <row r="1271" spans="2:11" x14ac:dyDescent="0.25">
      <c r="B1271" s="5" t="str">
        <f t="shared" si="778"/>
        <v>SPS2</v>
      </c>
      <c r="C1271" s="5" t="str">
        <f t="shared" si="776"/>
        <v>CH</v>
      </c>
      <c r="D1271" t="s">
        <v>1190</v>
      </c>
      <c r="E1271" t="str">
        <f t="shared" si="777"/>
        <v>km/MJ</v>
      </c>
      <c r="F1271" s="1">
        <f t="shared" si="779"/>
        <v>0.51975010967252389</v>
      </c>
      <c r="G1271" s="1">
        <f t="shared" si="779"/>
        <v>0.51997499725573537</v>
      </c>
      <c r="H1271" s="1">
        <f t="shared" si="779"/>
        <v>0.55324128580856968</v>
      </c>
      <c r="I1271" s="1">
        <f t="shared" si="779"/>
        <v>0.62534023005230077</v>
      </c>
      <c r="J1271" s="1">
        <f t="shared" si="779"/>
        <v>0.77014252067290634</v>
      </c>
      <c r="K1271" s="1">
        <f t="shared" si="779"/>
        <v>0.95074426478128593</v>
      </c>
    </row>
    <row r="1272" spans="2:11" x14ac:dyDescent="0.25">
      <c r="B1272" s="5" t="str">
        <f t="shared" si="778"/>
        <v>SPS2</v>
      </c>
      <c r="C1272" s="5" t="str">
        <f t="shared" si="776"/>
        <v>CH</v>
      </c>
      <c r="D1272" t="s">
        <v>1191</v>
      </c>
      <c r="E1272" t="str">
        <f t="shared" si="777"/>
        <v>km/MJ</v>
      </c>
      <c r="F1272" s="1">
        <f t="shared" ref="F1272:K1275" si="780">IFERROR(F1221/SUM(F1145,F1197),"-")</f>
        <v>0.72840569582556824</v>
      </c>
      <c r="G1272" s="1">
        <f t="shared" si="780"/>
        <v>0.77253513267603302</v>
      </c>
      <c r="H1272" s="1">
        <f t="shared" si="780"/>
        <v>0.7864761137244809</v>
      </c>
      <c r="I1272" s="1">
        <f t="shared" si="780"/>
        <v>0.82742013547431781</v>
      </c>
      <c r="J1272" s="1">
        <f t="shared" si="780"/>
        <v>0.97728297188499202</v>
      </c>
      <c r="K1272" s="1">
        <f t="shared" si="780"/>
        <v>1.1651649839766531</v>
      </c>
    </row>
    <row r="1273" spans="2:11" x14ac:dyDescent="0.25">
      <c r="B1273" s="5" t="str">
        <f t="shared" si="778"/>
        <v>SPS2</v>
      </c>
      <c r="C1273" s="5" t="str">
        <f t="shared" si="776"/>
        <v>CH</v>
      </c>
      <c r="D1273" t="s">
        <v>1192</v>
      </c>
      <c r="E1273" t="str">
        <f t="shared" si="777"/>
        <v>km/MJ</v>
      </c>
      <c r="F1273" s="1">
        <f t="shared" si="780"/>
        <v>0.33228922353532886</v>
      </c>
      <c r="G1273" s="1">
        <f t="shared" si="780"/>
        <v>0.63875315607692917</v>
      </c>
      <c r="H1273" s="1">
        <f t="shared" si="780"/>
        <v>0.59590552057241697</v>
      </c>
      <c r="I1273" s="1">
        <f t="shared" si="780"/>
        <v>0.6935218829326264</v>
      </c>
      <c r="J1273" s="1">
        <f t="shared" si="780"/>
        <v>0.84864939745519963</v>
      </c>
      <c r="K1273" s="1">
        <f t="shared" si="780"/>
        <v>1.0282125936618745</v>
      </c>
    </row>
    <row r="1274" spans="2:11" x14ac:dyDescent="0.25">
      <c r="B1274" s="5" t="str">
        <f t="shared" si="778"/>
        <v>SPS2</v>
      </c>
      <c r="C1274" s="5" t="str">
        <f t="shared" si="776"/>
        <v>CH</v>
      </c>
      <c r="D1274" t="s">
        <v>1193</v>
      </c>
      <c r="E1274" t="str">
        <f t="shared" si="777"/>
        <v>km/MJ</v>
      </c>
      <c r="F1274" s="1">
        <f t="shared" si="780"/>
        <v>0.55006776642440125</v>
      </c>
      <c r="G1274" s="1">
        <f t="shared" si="780"/>
        <v>0.60255607065849104</v>
      </c>
      <c r="H1274" s="1">
        <f t="shared" si="780"/>
        <v>0.62626249354995922</v>
      </c>
      <c r="I1274" s="1">
        <f t="shared" si="780"/>
        <v>0.67374024741110139</v>
      </c>
      <c r="J1274" s="1">
        <f t="shared" si="780"/>
        <v>0.84419937453091765</v>
      </c>
      <c r="K1274" s="1">
        <f t="shared" si="780"/>
        <v>1.0640850598698526</v>
      </c>
    </row>
    <row r="1275" spans="2:11" x14ac:dyDescent="0.25">
      <c r="B1275" s="5" t="str">
        <f t="shared" si="778"/>
        <v>SPS2</v>
      </c>
      <c r="C1275" s="5" t="str">
        <f t="shared" si="776"/>
        <v>CH</v>
      </c>
      <c r="D1275" t="s">
        <v>1194</v>
      </c>
      <c r="E1275" t="str">
        <f t="shared" si="777"/>
        <v>km/MJ</v>
      </c>
      <c r="F1275" s="1">
        <f t="shared" si="780"/>
        <v>0.52693726159880938</v>
      </c>
      <c r="G1275" s="1">
        <f t="shared" si="780"/>
        <v>0.54010352197085776</v>
      </c>
      <c r="H1275" s="1">
        <f t="shared" si="780"/>
        <v>0.55022014375682982</v>
      </c>
      <c r="I1275" s="1">
        <f t="shared" si="780"/>
        <v>0.63291185858110899</v>
      </c>
      <c r="J1275" s="1">
        <f t="shared" si="780"/>
        <v>0.77603553653911439</v>
      </c>
      <c r="K1275" s="1">
        <f t="shared" si="780"/>
        <v>0.95686011573921181</v>
      </c>
    </row>
    <row r="1276" spans="2:11" x14ac:dyDescent="0.25">
      <c r="B1276" s="5" t="str">
        <f t="shared" si="778"/>
        <v>SPS2</v>
      </c>
      <c r="C1276" s="5" t="str">
        <f t="shared" si="776"/>
        <v>CH</v>
      </c>
      <c r="D1276" t="s">
        <v>1195</v>
      </c>
      <c r="E1276" t="str">
        <f t="shared" si="777"/>
        <v>km/MJ</v>
      </c>
      <c r="F1276" s="1" t="str">
        <f>IFERROR(F1225/F1151,"-")</f>
        <v>-</v>
      </c>
      <c r="G1276" s="1">
        <f t="shared" ref="G1276:K1276" si="781">IFERROR(G1225/G1151,"-")</f>
        <v>1.09656966561652</v>
      </c>
      <c r="H1276" s="1">
        <f t="shared" si="781"/>
        <v>1.0965696656165189</v>
      </c>
      <c r="I1276" s="1">
        <f t="shared" si="781"/>
        <v>1.0965696656165203</v>
      </c>
      <c r="J1276" s="1">
        <f t="shared" si="781"/>
        <v>1.2327482369963587</v>
      </c>
      <c r="K1276" s="1">
        <f t="shared" si="781"/>
        <v>1.2345319128135845</v>
      </c>
    </row>
    <row r="1277" spans="2:11" x14ac:dyDescent="0.25">
      <c r="B1277" s="5" t="str">
        <f t="shared" si="778"/>
        <v>SPS2</v>
      </c>
      <c r="C1277" s="5" t="str">
        <f t="shared" si="776"/>
        <v>CH</v>
      </c>
      <c r="D1277" t="s">
        <v>1196</v>
      </c>
      <c r="E1277" t="str">
        <f t="shared" si="777"/>
        <v>km/MJ</v>
      </c>
      <c r="F1277" s="1">
        <f t="shared" ref="F1277:K1277" si="782">IFERROR(F1226/F1152,"-")</f>
        <v>0.89149519806162125</v>
      </c>
      <c r="G1277" s="1">
        <f t="shared" si="782"/>
        <v>0.89149519806162081</v>
      </c>
      <c r="H1277" s="1">
        <f t="shared" si="782"/>
        <v>0.89149519806162114</v>
      </c>
      <c r="I1277" s="1">
        <f t="shared" si="782"/>
        <v>0.89149519806162203</v>
      </c>
      <c r="J1277" s="1">
        <f t="shared" si="782"/>
        <v>0.97157150987024832</v>
      </c>
      <c r="K1277" s="1">
        <f t="shared" si="782"/>
        <v>1.0445708049908893</v>
      </c>
    </row>
    <row r="1278" spans="2:11" x14ac:dyDescent="0.25">
      <c r="B1278" s="5" t="str">
        <f t="shared" si="778"/>
        <v>SPS2</v>
      </c>
      <c r="C1278" s="5" t="str">
        <f t="shared" si="776"/>
        <v>CH</v>
      </c>
      <c r="D1278" t="s">
        <v>1197</v>
      </c>
      <c r="E1278" t="str">
        <f t="shared" si="777"/>
        <v>km/MJ</v>
      </c>
      <c r="F1278" s="1">
        <f t="shared" ref="F1278:K1278" si="783">IFERROR(F1227/F1153,"-")</f>
        <v>0.83000507256490685</v>
      </c>
      <c r="G1278" s="1">
        <f t="shared" si="783"/>
        <v>0.83000507256490563</v>
      </c>
      <c r="H1278" s="1">
        <f t="shared" si="783"/>
        <v>0.83000507256490552</v>
      </c>
      <c r="I1278" s="1">
        <f t="shared" si="783"/>
        <v>0.83000507256490519</v>
      </c>
      <c r="J1278" s="1">
        <f t="shared" si="783"/>
        <v>0.90774344890168179</v>
      </c>
      <c r="K1278" s="1">
        <f t="shared" si="783"/>
        <v>0.98736574075563888</v>
      </c>
    </row>
    <row r="1279" spans="2:11" x14ac:dyDescent="0.25">
      <c r="B1279" s="5" t="str">
        <f t="shared" si="778"/>
        <v>SPS2</v>
      </c>
      <c r="C1279" s="5" t="str">
        <f t="shared" si="776"/>
        <v>CH</v>
      </c>
      <c r="D1279" t="s">
        <v>1198</v>
      </c>
      <c r="E1279" t="str">
        <f t="shared" si="777"/>
        <v>km/MJ</v>
      </c>
      <c r="F1279" s="1" t="str">
        <f t="shared" ref="F1279:K1279" si="784">IFERROR(F1228/F1154,"-")</f>
        <v>-</v>
      </c>
      <c r="G1279" s="1">
        <f t="shared" si="784"/>
        <v>0.83675282096654202</v>
      </c>
      <c r="H1279" s="1">
        <f t="shared" si="784"/>
        <v>0.83675282096654136</v>
      </c>
      <c r="I1279" s="1">
        <f t="shared" si="784"/>
        <v>0.83675282096654113</v>
      </c>
      <c r="J1279" s="1">
        <f t="shared" si="784"/>
        <v>0.92887083826251071</v>
      </c>
      <c r="K1279" s="1">
        <f t="shared" si="784"/>
        <v>1.0603955585491203</v>
      </c>
    </row>
    <row r="1280" spans="2:11" x14ac:dyDescent="0.25">
      <c r="B1280" s="5" t="str">
        <f t="shared" si="778"/>
        <v>SPS2</v>
      </c>
      <c r="C1280" s="5" t="str">
        <f t="shared" si="776"/>
        <v>CH</v>
      </c>
      <c r="D1280" t="s">
        <v>1233</v>
      </c>
      <c r="E1280" t="str">
        <f t="shared" si="777"/>
        <v>km/MJ</v>
      </c>
      <c r="F1280" s="1">
        <f t="shared" ref="F1280:K1293" si="785">IFERROR(F1229/F1160,"-")</f>
        <v>0.49379534694678323</v>
      </c>
      <c r="G1280" s="1">
        <f t="shared" si="785"/>
        <v>0.50503220860251352</v>
      </c>
      <c r="H1280" s="1">
        <f t="shared" si="785"/>
        <v>0.52188750108610948</v>
      </c>
      <c r="I1280" s="1">
        <f t="shared" si="785"/>
        <v>0.5499796552254359</v>
      </c>
      <c r="J1280" s="1" t="str">
        <f t="shared" si="785"/>
        <v>-</v>
      </c>
      <c r="K1280" s="1" t="str">
        <f t="shared" si="785"/>
        <v>-</v>
      </c>
    </row>
    <row r="1281" spans="2:11" x14ac:dyDescent="0.25">
      <c r="B1281" s="5" t="str">
        <f t="shared" si="778"/>
        <v>SPS2</v>
      </c>
      <c r="C1281" s="5" t="str">
        <f t="shared" si="776"/>
        <v>CH</v>
      </c>
      <c r="D1281" t="s">
        <v>1199</v>
      </c>
      <c r="E1281" t="str">
        <f t="shared" si="777"/>
        <v>km/MJ</v>
      </c>
      <c r="F1281" s="1">
        <f t="shared" si="785"/>
        <v>1.5002911753764396</v>
      </c>
      <c r="G1281" s="1">
        <f t="shared" si="785"/>
        <v>1.4255260428535979</v>
      </c>
      <c r="H1281" s="1">
        <f t="shared" si="785"/>
        <v>1.4161593908534293</v>
      </c>
      <c r="I1281" s="1">
        <f t="shared" si="785"/>
        <v>1.3800048358960482</v>
      </c>
      <c r="J1281" s="1">
        <f t="shared" si="785"/>
        <v>0.9308663502673229</v>
      </c>
      <c r="K1281" s="1">
        <f t="shared" si="785"/>
        <v>0.933511140090026</v>
      </c>
    </row>
    <row r="1282" spans="2:11" x14ac:dyDescent="0.25">
      <c r="B1282" s="5" t="str">
        <f t="shared" si="778"/>
        <v>SPS2</v>
      </c>
      <c r="C1282" s="5" t="str">
        <f t="shared" si="776"/>
        <v>CH</v>
      </c>
      <c r="D1282" t="s">
        <v>1200</v>
      </c>
      <c r="E1282" t="str">
        <f t="shared" si="777"/>
        <v>km/MJ</v>
      </c>
      <c r="F1282" s="1">
        <f t="shared" si="785"/>
        <v>2.0013704825972707</v>
      </c>
      <c r="G1282" s="1">
        <f t="shared" si="785"/>
        <v>2.2873349448527867</v>
      </c>
      <c r="H1282" s="1">
        <f t="shared" si="785"/>
        <v>2.281302308185599</v>
      </c>
      <c r="I1282" s="1">
        <f t="shared" si="785"/>
        <v>2.249861605835179</v>
      </c>
      <c r="J1282" s="1">
        <f t="shared" si="785"/>
        <v>0.85517209681553275</v>
      </c>
      <c r="K1282" s="1">
        <f t="shared" si="785"/>
        <v>0.78602842812645402</v>
      </c>
    </row>
    <row r="1283" spans="2:11" x14ac:dyDescent="0.25">
      <c r="B1283" s="5" t="str">
        <f t="shared" si="778"/>
        <v>SPS2</v>
      </c>
      <c r="C1283" s="5" t="str">
        <f t="shared" si="776"/>
        <v>CH</v>
      </c>
      <c r="D1283" t="s">
        <v>1201</v>
      </c>
      <c r="E1283" t="str">
        <f t="shared" si="777"/>
        <v>km/MJ</v>
      </c>
      <c r="F1283" s="1">
        <f t="shared" si="785"/>
        <v>2.4757427821798044</v>
      </c>
      <c r="G1283" s="1">
        <f t="shared" si="785"/>
        <v>2.548491427432614</v>
      </c>
      <c r="H1283" s="1">
        <f t="shared" si="785"/>
        <v>2.5488467479881667</v>
      </c>
      <c r="I1283" s="1">
        <f t="shared" si="785"/>
        <v>2.5497273852526123</v>
      </c>
      <c r="J1283" s="1">
        <f t="shared" si="785"/>
        <v>0.72443958187958324</v>
      </c>
      <c r="K1283" s="1">
        <f t="shared" si="785"/>
        <v>0.70977389352744413</v>
      </c>
    </row>
    <row r="1284" spans="2:11" x14ac:dyDescent="0.25">
      <c r="B1284" s="5" t="str">
        <f t="shared" si="778"/>
        <v>SPS2</v>
      </c>
      <c r="C1284" s="5" t="str">
        <f t="shared" si="776"/>
        <v>CH</v>
      </c>
      <c r="D1284" t="s">
        <v>1202</v>
      </c>
      <c r="E1284" t="str">
        <f t="shared" si="777"/>
        <v>km/MJ</v>
      </c>
      <c r="F1284" s="1">
        <f t="shared" si="785"/>
        <v>1.2280233935905454</v>
      </c>
      <c r="G1284" s="1">
        <f t="shared" si="785"/>
        <v>1.4177329460072372</v>
      </c>
      <c r="H1284" s="1">
        <f t="shared" si="785"/>
        <v>1.4143470625553685</v>
      </c>
      <c r="I1284" s="1">
        <f t="shared" si="785"/>
        <v>1.4013266344295108</v>
      </c>
      <c r="J1284" s="1">
        <f t="shared" si="785"/>
        <v>0.704320722996018</v>
      </c>
      <c r="K1284" s="1">
        <f t="shared" si="785"/>
        <v>0.6996282703497394</v>
      </c>
    </row>
    <row r="1285" spans="2:11" x14ac:dyDescent="0.25">
      <c r="B1285" s="5" t="str">
        <f t="shared" si="778"/>
        <v>SPS2</v>
      </c>
      <c r="C1285" s="5" t="str">
        <f t="shared" si="776"/>
        <v>CH</v>
      </c>
      <c r="D1285" t="s">
        <v>1203</v>
      </c>
      <c r="E1285" t="str">
        <f t="shared" si="777"/>
        <v>km/MJ</v>
      </c>
      <c r="F1285" s="1">
        <f t="shared" si="785"/>
        <v>0.28603940550919493</v>
      </c>
      <c r="G1285" s="1">
        <f t="shared" si="785"/>
        <v>0.29254854993039742</v>
      </c>
      <c r="H1285" s="1">
        <f t="shared" si="785"/>
        <v>0.30231226656220084</v>
      </c>
      <c r="I1285" s="1">
        <f t="shared" si="785"/>
        <v>0.31858512761520619</v>
      </c>
      <c r="J1285" s="1" t="str">
        <f t="shared" si="785"/>
        <v>-</v>
      </c>
      <c r="K1285" s="1" t="str">
        <f t="shared" si="785"/>
        <v>-</v>
      </c>
    </row>
    <row r="1286" spans="2:11" x14ac:dyDescent="0.25">
      <c r="B1286" s="5" t="str">
        <f t="shared" si="778"/>
        <v>SPS2</v>
      </c>
      <c r="C1286" s="5" t="str">
        <f t="shared" si="776"/>
        <v>CH</v>
      </c>
      <c r="D1286" t="s">
        <v>1204</v>
      </c>
      <c r="E1286" t="str">
        <f t="shared" si="777"/>
        <v>km/MJ</v>
      </c>
      <c r="F1286" s="1">
        <f t="shared" si="785"/>
        <v>0.76791901691761766</v>
      </c>
      <c r="G1286" s="1">
        <f t="shared" si="785"/>
        <v>0.73230093407210017</v>
      </c>
      <c r="H1286" s="1">
        <f t="shared" si="785"/>
        <v>0.73432117614674652</v>
      </c>
      <c r="I1286" s="1">
        <f t="shared" si="785"/>
        <v>0.72781734427989386</v>
      </c>
      <c r="J1286" s="1">
        <f t="shared" si="785"/>
        <v>0.6122108690271163</v>
      </c>
      <c r="K1286" s="1">
        <f t="shared" si="785"/>
        <v>0.62816200783532239</v>
      </c>
    </row>
    <row r="1287" spans="2:11" x14ac:dyDescent="0.25">
      <c r="B1287" s="5" t="str">
        <f t="shared" si="778"/>
        <v>SPS2</v>
      </c>
      <c r="C1287" s="5" t="str">
        <f t="shared" si="776"/>
        <v>CH</v>
      </c>
      <c r="D1287" t="s">
        <v>1205</v>
      </c>
      <c r="E1287" t="str">
        <f t="shared" si="777"/>
        <v>km/MJ</v>
      </c>
      <c r="F1287" s="1">
        <f t="shared" si="785"/>
        <v>0.62223341479474314</v>
      </c>
      <c r="G1287" s="1">
        <f t="shared" si="785"/>
        <v>0.62321633554338551</v>
      </c>
      <c r="H1287" s="1">
        <f t="shared" si="785"/>
        <v>0.62400942188148711</v>
      </c>
      <c r="I1287" s="1">
        <f t="shared" si="785"/>
        <v>0.62462177964414711</v>
      </c>
      <c r="J1287" s="1">
        <f t="shared" si="785"/>
        <v>0.50110893676143864</v>
      </c>
      <c r="K1287" s="1">
        <f t="shared" si="785"/>
        <v>0.50454300829944754</v>
      </c>
    </row>
    <row r="1288" spans="2:11" x14ac:dyDescent="0.25">
      <c r="B1288" s="5" t="str">
        <f t="shared" si="778"/>
        <v>SPS2</v>
      </c>
      <c r="C1288" s="5" t="str">
        <f t="shared" si="776"/>
        <v>CH</v>
      </c>
      <c r="D1288" t="s">
        <v>1206</v>
      </c>
      <c r="E1288" t="str">
        <f t="shared" si="777"/>
        <v>km/MJ</v>
      </c>
      <c r="F1288" s="1">
        <f t="shared" si="785"/>
        <v>0.5155629709920988</v>
      </c>
      <c r="G1288" s="1">
        <f t="shared" si="785"/>
        <v>0.51846939185888608</v>
      </c>
      <c r="H1288" s="1">
        <f t="shared" si="785"/>
        <v>0.51857947295329987</v>
      </c>
      <c r="I1288" s="1">
        <f t="shared" si="785"/>
        <v>0.51902460409938422</v>
      </c>
      <c r="J1288" s="1">
        <f t="shared" si="785"/>
        <v>0.46386556063087586</v>
      </c>
      <c r="K1288" s="1">
        <f t="shared" si="785"/>
        <v>0.4689517988001507</v>
      </c>
    </row>
    <row r="1289" spans="2:11" x14ac:dyDescent="0.25">
      <c r="B1289" s="5" t="str">
        <f t="shared" si="778"/>
        <v>SPS2</v>
      </c>
      <c r="C1289" s="5" t="str">
        <f t="shared" si="776"/>
        <v>CH</v>
      </c>
      <c r="D1289" t="s">
        <v>1207</v>
      </c>
      <c r="E1289" t="str">
        <f t="shared" si="777"/>
        <v>km/MJ</v>
      </c>
      <c r="F1289" s="1">
        <f t="shared" si="785"/>
        <v>0.4249947147304331</v>
      </c>
      <c r="G1289" s="1">
        <f t="shared" si="785"/>
        <v>0.42878549821235468</v>
      </c>
      <c r="H1289" s="1">
        <f t="shared" si="785"/>
        <v>0.42881656935011531</v>
      </c>
      <c r="I1289" s="1">
        <f t="shared" si="785"/>
        <v>0.42890749770091779</v>
      </c>
      <c r="J1289" s="1">
        <f t="shared" si="785"/>
        <v>0.4726855682827158</v>
      </c>
      <c r="K1289" s="1">
        <f t="shared" si="785"/>
        <v>0.47329901763586896</v>
      </c>
    </row>
    <row r="1290" spans="2:11" x14ac:dyDescent="0.25">
      <c r="B1290" s="5" t="str">
        <f t="shared" si="778"/>
        <v>SPS2</v>
      </c>
      <c r="C1290" s="5" t="str">
        <f t="shared" si="776"/>
        <v>CH</v>
      </c>
      <c r="D1290" t="s">
        <v>1208</v>
      </c>
      <c r="E1290" t="str">
        <f t="shared" si="777"/>
        <v>km/MJ</v>
      </c>
      <c r="F1290" s="1" t="str">
        <f t="shared" si="785"/>
        <v>-</v>
      </c>
      <c r="G1290" s="1">
        <f t="shared" si="785"/>
        <v>0.51837627625535221</v>
      </c>
      <c r="H1290" s="1">
        <f t="shared" si="785"/>
        <v>0.54368127180524395</v>
      </c>
      <c r="I1290" s="1">
        <f t="shared" si="785"/>
        <v>0.56791359353665516</v>
      </c>
      <c r="J1290" s="1">
        <f t="shared" si="785"/>
        <v>0.67252919571712733</v>
      </c>
      <c r="K1290" s="1">
        <f t="shared" si="785"/>
        <v>0.72766992806458053</v>
      </c>
    </row>
    <row r="1291" spans="2:11" x14ac:dyDescent="0.25">
      <c r="B1291" s="5" t="str">
        <f t="shared" si="778"/>
        <v>SPS2</v>
      </c>
      <c r="C1291" s="5" t="str">
        <f t="shared" si="776"/>
        <v>CH</v>
      </c>
      <c r="D1291" t="s">
        <v>1209</v>
      </c>
      <c r="E1291" t="str">
        <f t="shared" si="777"/>
        <v>km/MJ</v>
      </c>
      <c r="F1291" s="1" t="str">
        <f t="shared" si="785"/>
        <v>-</v>
      </c>
      <c r="G1291" s="1">
        <f t="shared" si="785"/>
        <v>0.41733711223534992</v>
      </c>
      <c r="H1291" s="1">
        <f t="shared" si="785"/>
        <v>0.43747151017274694</v>
      </c>
      <c r="I1291" s="1">
        <f t="shared" si="785"/>
        <v>0.45808679873440411</v>
      </c>
      <c r="J1291" s="1">
        <f t="shared" si="785"/>
        <v>0.55883198225116282</v>
      </c>
      <c r="K1291" s="1">
        <f t="shared" si="785"/>
        <v>0.5942495026785547</v>
      </c>
    </row>
    <row r="1292" spans="2:11" x14ac:dyDescent="0.25">
      <c r="B1292" s="5" t="str">
        <f t="shared" si="778"/>
        <v>SPS2</v>
      </c>
      <c r="C1292" s="5" t="str">
        <f t="shared" si="776"/>
        <v>CH</v>
      </c>
      <c r="D1292" t="s">
        <v>1210</v>
      </c>
      <c r="E1292" t="str">
        <f t="shared" si="777"/>
        <v>km/MJ</v>
      </c>
      <c r="F1292" s="1" t="str">
        <f t="shared" si="785"/>
        <v>-</v>
      </c>
      <c r="G1292" s="1">
        <f t="shared" si="785"/>
        <v>0.38796990995538638</v>
      </c>
      <c r="H1292" s="1">
        <f t="shared" si="785"/>
        <v>0.40460507891087294</v>
      </c>
      <c r="I1292" s="1">
        <f t="shared" si="785"/>
        <v>0.42347201342926105</v>
      </c>
      <c r="J1292" s="1">
        <f t="shared" si="785"/>
        <v>0.52504482037004863</v>
      </c>
      <c r="K1292" s="1">
        <f t="shared" si="785"/>
        <v>0.55442435856153283</v>
      </c>
    </row>
    <row r="1293" spans="2:11" x14ac:dyDescent="0.25">
      <c r="B1293" s="5" t="str">
        <f t="shared" si="778"/>
        <v>SPS2</v>
      </c>
      <c r="C1293" s="5" t="str">
        <f t="shared" si="776"/>
        <v>CH</v>
      </c>
      <c r="D1293" t="s">
        <v>1211</v>
      </c>
      <c r="E1293" t="str">
        <f t="shared" si="777"/>
        <v>km/MJ</v>
      </c>
      <c r="F1293" s="1" t="str">
        <f t="shared" si="785"/>
        <v>-</v>
      </c>
      <c r="G1293" s="1">
        <f t="shared" si="785"/>
        <v>0.39332458747711357</v>
      </c>
      <c r="H1293" s="1">
        <f t="shared" si="785"/>
        <v>0.40975422234010084</v>
      </c>
      <c r="I1293" s="1">
        <f t="shared" si="785"/>
        <v>0.42792187656913305</v>
      </c>
      <c r="J1293" s="1">
        <f t="shared" si="785"/>
        <v>0.53410790995640367</v>
      </c>
      <c r="K1293" s="1">
        <f t="shared" si="785"/>
        <v>0.55992794758195708</v>
      </c>
    </row>
    <row r="1294" spans="2:11" x14ac:dyDescent="0.25">
      <c r="B1294" s="5" t="str">
        <f t="shared" si="778"/>
        <v>SPS2</v>
      </c>
      <c r="C1294" s="5" t="str">
        <f t="shared" si="776"/>
        <v>CH</v>
      </c>
      <c r="D1294" t="s">
        <v>1235</v>
      </c>
      <c r="E1294" t="str">
        <f t="shared" si="777"/>
        <v>km/MJ</v>
      </c>
      <c r="F1294" s="1" t="str">
        <f t="shared" ref="F1294:K1307" si="786">IFERROR(F1243/F1183,"-")</f>
        <v>-</v>
      </c>
      <c r="G1294" s="1" t="str">
        <f t="shared" si="786"/>
        <v>-</v>
      </c>
      <c r="H1294" s="1" t="str">
        <f t="shared" si="786"/>
        <v>-</v>
      </c>
      <c r="I1294" s="1" t="str">
        <f t="shared" si="786"/>
        <v>-</v>
      </c>
      <c r="J1294" s="1" t="str">
        <f t="shared" si="786"/>
        <v>-</v>
      </c>
      <c r="K1294" s="1" t="str">
        <f t="shared" si="786"/>
        <v>-</v>
      </c>
    </row>
    <row r="1295" spans="2:11" x14ac:dyDescent="0.25">
      <c r="B1295" s="5" t="str">
        <f t="shared" si="778"/>
        <v>SPS2</v>
      </c>
      <c r="C1295" s="5" t="str">
        <f t="shared" si="776"/>
        <v>CH</v>
      </c>
      <c r="D1295" t="s">
        <v>1212</v>
      </c>
      <c r="E1295" t="str">
        <f t="shared" si="777"/>
        <v>km/MJ</v>
      </c>
      <c r="F1295" s="1">
        <f t="shared" si="786"/>
        <v>0.41824117647058773</v>
      </c>
      <c r="G1295" s="1">
        <f t="shared" si="786"/>
        <v>1.6336744236932876</v>
      </c>
      <c r="H1295" s="1">
        <f t="shared" si="786"/>
        <v>1.419218618192811</v>
      </c>
      <c r="I1295" s="1">
        <f t="shared" si="786"/>
        <v>1.3655731643389697</v>
      </c>
      <c r="J1295" s="1">
        <f t="shared" si="786"/>
        <v>1.0191910580251791</v>
      </c>
      <c r="K1295" s="1">
        <f t="shared" si="786"/>
        <v>0.94901092734245684</v>
      </c>
    </row>
    <row r="1296" spans="2:11" x14ac:dyDescent="0.25">
      <c r="B1296" s="5" t="str">
        <f t="shared" si="778"/>
        <v>SPS2</v>
      </c>
      <c r="C1296" s="5" t="str">
        <f t="shared" si="776"/>
        <v>CH</v>
      </c>
      <c r="D1296" t="s">
        <v>1213</v>
      </c>
      <c r="E1296" t="str">
        <f t="shared" si="777"/>
        <v>km/MJ</v>
      </c>
      <c r="F1296" s="1">
        <f t="shared" si="786"/>
        <v>1.1792443647702644</v>
      </c>
      <c r="G1296" s="1">
        <f t="shared" si="786"/>
        <v>2.682800803244342</v>
      </c>
      <c r="H1296" s="1">
        <f t="shared" si="786"/>
        <v>2.6082005873343865</v>
      </c>
      <c r="I1296" s="1">
        <f t="shared" si="786"/>
        <v>2.601116513635636</v>
      </c>
      <c r="J1296" s="1">
        <f t="shared" si="786"/>
        <v>1.7723517002494675</v>
      </c>
      <c r="K1296" s="1">
        <f t="shared" si="786"/>
        <v>0.7909736853162268</v>
      </c>
    </row>
    <row r="1297" spans="2:11" x14ac:dyDescent="0.25">
      <c r="B1297" s="5" t="str">
        <f t="shared" si="778"/>
        <v>SPS2</v>
      </c>
      <c r="C1297" s="5" t="str">
        <f t="shared" si="776"/>
        <v>CH</v>
      </c>
      <c r="D1297" t="s">
        <v>1214</v>
      </c>
      <c r="E1297" t="str">
        <f t="shared" si="777"/>
        <v>km/MJ</v>
      </c>
      <c r="F1297" s="1">
        <f t="shared" si="786"/>
        <v>0.89138413112012804</v>
      </c>
      <c r="G1297" s="1">
        <f t="shared" si="786"/>
        <v>1.1949364805852878</v>
      </c>
      <c r="H1297" s="1">
        <f t="shared" si="786"/>
        <v>1.1904883126906309</v>
      </c>
      <c r="I1297" s="1">
        <f t="shared" si="786"/>
        <v>1.2611590777225428</v>
      </c>
      <c r="J1297" s="1">
        <f t="shared" si="786"/>
        <v>0.72213145341434726</v>
      </c>
      <c r="K1297" s="1">
        <f t="shared" si="786"/>
        <v>0.71157319856988732</v>
      </c>
    </row>
    <row r="1298" spans="2:11" x14ac:dyDescent="0.25">
      <c r="B1298" s="5" t="str">
        <f t="shared" si="778"/>
        <v>SPS2</v>
      </c>
      <c r="C1298" s="5" t="str">
        <f t="shared" si="776"/>
        <v>CH</v>
      </c>
      <c r="D1298" t="s">
        <v>1215</v>
      </c>
      <c r="E1298" t="str">
        <f t="shared" si="777"/>
        <v>km/MJ</v>
      </c>
      <c r="F1298" s="1">
        <f t="shared" si="786"/>
        <v>1.3435966176648169</v>
      </c>
      <c r="G1298" s="1">
        <f t="shared" si="786"/>
        <v>1.6483043519490728</v>
      </c>
      <c r="H1298" s="1">
        <f t="shared" si="786"/>
        <v>1.649962716040084</v>
      </c>
      <c r="I1298" s="1">
        <f t="shared" si="786"/>
        <v>1.6576041124642891</v>
      </c>
      <c r="J1298" s="1">
        <f t="shared" si="786"/>
        <v>0.7134469677321118</v>
      </c>
      <c r="K1298" s="1">
        <f t="shared" si="786"/>
        <v>0.70175716739071181</v>
      </c>
    </row>
    <row r="1299" spans="2:11" x14ac:dyDescent="0.25">
      <c r="B1299" s="5" t="str">
        <f t="shared" si="778"/>
        <v>SPS2</v>
      </c>
      <c r="C1299" s="5" t="str">
        <f t="shared" si="776"/>
        <v>CH</v>
      </c>
      <c r="D1299" t="s">
        <v>1216</v>
      </c>
      <c r="E1299" t="str">
        <f t="shared" si="777"/>
        <v>km/MJ</v>
      </c>
      <c r="F1299" s="1">
        <f t="shared" si="786"/>
        <v>0.33901850024086022</v>
      </c>
      <c r="G1299" s="1">
        <f t="shared" si="786"/>
        <v>0.35391427166601108</v>
      </c>
      <c r="H1299" s="1">
        <f t="shared" si="786"/>
        <v>0.3762579288037371</v>
      </c>
      <c r="I1299" s="1">
        <f t="shared" si="786"/>
        <v>0.41349735736661514</v>
      </c>
      <c r="J1299" s="1" t="str">
        <f t="shared" si="786"/>
        <v>-</v>
      </c>
      <c r="K1299" s="1" t="str">
        <f t="shared" si="786"/>
        <v>-</v>
      </c>
    </row>
    <row r="1300" spans="2:11" x14ac:dyDescent="0.25">
      <c r="B1300" s="5" t="str">
        <f t="shared" si="778"/>
        <v>SPS2</v>
      </c>
      <c r="C1300" s="5" t="str">
        <f t="shared" si="776"/>
        <v>CH</v>
      </c>
      <c r="D1300" t="s">
        <v>1217</v>
      </c>
      <c r="E1300" t="str">
        <f t="shared" si="777"/>
        <v>km/MJ</v>
      </c>
      <c r="F1300" s="1">
        <f t="shared" si="786"/>
        <v>0.752053237336748</v>
      </c>
      <c r="G1300" s="1">
        <f t="shared" si="786"/>
        <v>0.77310029399925762</v>
      </c>
      <c r="H1300" s="1">
        <f t="shared" si="786"/>
        <v>0.77597403233840523</v>
      </c>
      <c r="I1300" s="1">
        <f t="shared" si="786"/>
        <v>0.78880738282810803</v>
      </c>
      <c r="J1300" s="1">
        <f t="shared" si="786"/>
        <v>0.65586369111026832</v>
      </c>
      <c r="K1300" s="1">
        <f t="shared" si="786"/>
        <v>0.65127760809627511</v>
      </c>
    </row>
    <row r="1301" spans="2:11" x14ac:dyDescent="0.25">
      <c r="B1301" s="5" t="str">
        <f t="shared" si="778"/>
        <v>SPS2</v>
      </c>
      <c r="C1301" s="5" t="str">
        <f t="shared" si="776"/>
        <v>CH</v>
      </c>
      <c r="D1301" t="s">
        <v>1218</v>
      </c>
      <c r="E1301" t="str">
        <f t="shared" si="777"/>
        <v>km/MJ</v>
      </c>
      <c r="F1301" s="1">
        <f t="shared" si="786"/>
        <v>0.69634310745741956</v>
      </c>
      <c r="G1301" s="1">
        <f t="shared" si="786"/>
        <v>0.70380043511258716</v>
      </c>
      <c r="H1301" s="1">
        <f t="shared" si="786"/>
        <v>0.73478665947585398</v>
      </c>
      <c r="I1301" s="1">
        <f t="shared" si="786"/>
        <v>0.76251363055347854</v>
      </c>
      <c r="J1301" s="1">
        <f t="shared" si="786"/>
        <v>0.52818798635044473</v>
      </c>
      <c r="K1301" s="1">
        <f t="shared" si="786"/>
        <v>0.52262562375013455</v>
      </c>
    </row>
    <row r="1302" spans="2:11" x14ac:dyDescent="0.25">
      <c r="B1302" s="5" t="str">
        <f t="shared" si="778"/>
        <v>SPS2</v>
      </c>
      <c r="C1302" s="5" t="str">
        <f t="shared" si="776"/>
        <v>CH</v>
      </c>
      <c r="D1302" t="s">
        <v>1219</v>
      </c>
      <c r="E1302" t="str">
        <f t="shared" si="777"/>
        <v>km/MJ</v>
      </c>
      <c r="F1302" s="1">
        <f t="shared" si="786"/>
        <v>0.52781628481432996</v>
      </c>
      <c r="G1302" s="1">
        <f t="shared" si="786"/>
        <v>0.53242126264960588</v>
      </c>
      <c r="H1302" s="1">
        <f t="shared" si="786"/>
        <v>0.5319550582169108</v>
      </c>
      <c r="I1302" s="1">
        <f t="shared" si="786"/>
        <v>0.54122038494631464</v>
      </c>
      <c r="J1302" s="1">
        <f t="shared" si="786"/>
        <v>0.48245330346804227</v>
      </c>
      <c r="K1302" s="1">
        <f t="shared" si="786"/>
        <v>0.48577678811134378</v>
      </c>
    </row>
    <row r="1303" spans="2:11" x14ac:dyDescent="0.25">
      <c r="B1303" s="5" t="str">
        <f t="shared" si="778"/>
        <v>SPS2</v>
      </c>
      <c r="C1303" s="5" t="str">
        <f t="shared" si="776"/>
        <v>CH</v>
      </c>
      <c r="D1303" t="s">
        <v>1220</v>
      </c>
      <c r="E1303" t="str">
        <f t="shared" si="777"/>
        <v>km/MJ</v>
      </c>
      <c r="F1303" s="1">
        <f t="shared" si="786"/>
        <v>0.46599373327426896</v>
      </c>
      <c r="G1303" s="1">
        <f t="shared" si="786"/>
        <v>0.45574868610316444</v>
      </c>
      <c r="H1303" s="1">
        <f t="shared" si="786"/>
        <v>0.45680371948083903</v>
      </c>
      <c r="I1303" s="1">
        <f t="shared" si="786"/>
        <v>0.46373351073605895</v>
      </c>
      <c r="J1303" s="1">
        <f t="shared" si="786"/>
        <v>0.44749311858465973</v>
      </c>
      <c r="K1303" s="1">
        <f t="shared" si="786"/>
        <v>0.4590518284102591</v>
      </c>
    </row>
    <row r="1304" spans="2:11" x14ac:dyDescent="0.25">
      <c r="B1304" s="5" t="str">
        <f t="shared" si="778"/>
        <v>SPS2</v>
      </c>
      <c r="C1304" s="5" t="str">
        <f t="shared" si="776"/>
        <v>CH</v>
      </c>
      <c r="D1304" t="s">
        <v>1221</v>
      </c>
      <c r="E1304" t="str">
        <f t="shared" si="777"/>
        <v>km/MJ</v>
      </c>
      <c r="F1304" s="1" t="str">
        <f t="shared" si="786"/>
        <v>-</v>
      </c>
      <c r="G1304" s="1">
        <f t="shared" si="786"/>
        <v>0.5620354474855459</v>
      </c>
      <c r="H1304" s="1">
        <f t="shared" si="786"/>
        <v>0.58388337055330797</v>
      </c>
      <c r="I1304" s="1">
        <f t="shared" si="786"/>
        <v>0.60551179870468552</v>
      </c>
      <c r="J1304" s="1">
        <f t="shared" si="786"/>
        <v>0.7060784380702293</v>
      </c>
      <c r="K1304" s="1">
        <f t="shared" si="786"/>
        <v>0.74881042546319199</v>
      </c>
    </row>
    <row r="1305" spans="2:11" x14ac:dyDescent="0.25">
      <c r="B1305" s="5" t="str">
        <f t="shared" si="778"/>
        <v>SPS2</v>
      </c>
      <c r="C1305" s="5" t="str">
        <f t="shared" si="776"/>
        <v>CH</v>
      </c>
      <c r="D1305" t="s">
        <v>1222</v>
      </c>
      <c r="E1305" t="str">
        <f t="shared" si="777"/>
        <v>km/MJ</v>
      </c>
      <c r="F1305" s="1" t="str">
        <f t="shared" si="786"/>
        <v>-</v>
      </c>
      <c r="G1305" s="1">
        <f t="shared" si="786"/>
        <v>0.45210145766281451</v>
      </c>
      <c r="H1305" s="1">
        <f t="shared" si="786"/>
        <v>0.470063623116388</v>
      </c>
      <c r="I1305" s="1">
        <f t="shared" si="786"/>
        <v>0.488461830618592</v>
      </c>
      <c r="J1305" s="1">
        <f t="shared" si="786"/>
        <v>0.58088397818530324</v>
      </c>
      <c r="K1305" s="1">
        <f t="shared" si="786"/>
        <v>0.61115117500265737</v>
      </c>
    </row>
    <row r="1306" spans="2:11" x14ac:dyDescent="0.25">
      <c r="B1306" s="5" t="str">
        <f t="shared" si="778"/>
        <v>SPS2</v>
      </c>
      <c r="C1306" s="5" t="str">
        <f t="shared" si="776"/>
        <v>CH</v>
      </c>
      <c r="D1306" t="s">
        <v>1223</v>
      </c>
      <c r="E1306" t="str">
        <f t="shared" si="777"/>
        <v>km/MJ</v>
      </c>
      <c r="F1306" s="1" t="str">
        <f t="shared" si="786"/>
        <v>-</v>
      </c>
      <c r="G1306" s="1">
        <f t="shared" si="786"/>
        <v>0.42028149632876899</v>
      </c>
      <c r="H1306" s="1">
        <f t="shared" si="786"/>
        <v>0.43547884501273915</v>
      </c>
      <c r="I1306" s="1">
        <f t="shared" si="786"/>
        <v>0.45250352920458065</v>
      </c>
      <c r="J1306" s="1">
        <f t="shared" si="786"/>
        <v>0.54442539489982233</v>
      </c>
      <c r="K1306" s="1">
        <f t="shared" si="786"/>
        <v>0.56998100287846998</v>
      </c>
    </row>
    <row r="1307" spans="2:11" x14ac:dyDescent="0.25">
      <c r="B1307" s="5" t="str">
        <f t="shared" si="778"/>
        <v>SPS2</v>
      </c>
      <c r="C1307" s="5" t="str">
        <f t="shared" si="776"/>
        <v>CH</v>
      </c>
      <c r="D1307" t="s">
        <v>1224</v>
      </c>
      <c r="E1307" t="str">
        <f t="shared" si="777"/>
        <v>km/MJ</v>
      </c>
      <c r="F1307" s="1" t="str">
        <f t="shared" si="786"/>
        <v>-</v>
      </c>
      <c r="G1307" s="1">
        <f t="shared" si="786"/>
        <v>0.39943403925494786</v>
      </c>
      <c r="H1307" s="1">
        <f t="shared" si="786"/>
        <v>0.41321913649376302</v>
      </c>
      <c r="I1307" s="1">
        <f t="shared" si="786"/>
        <v>0.42891521373370006</v>
      </c>
      <c r="J1307" s="1">
        <f t="shared" si="786"/>
        <v>0.51423590597471658</v>
      </c>
      <c r="K1307" s="1">
        <f t="shared" si="786"/>
        <v>0.53797168294631992</v>
      </c>
    </row>
    <row r="1308" spans="2:11" x14ac:dyDescent="0.25">
      <c r="B1308" s="5" t="str">
        <f t="shared" si="778"/>
        <v>SPS2</v>
      </c>
      <c r="C1308" s="5" t="str">
        <f t="shared" si="776"/>
        <v>CH</v>
      </c>
      <c r="D1308" t="s">
        <v>1225</v>
      </c>
      <c r="E1308" t="str">
        <f t="shared" si="777"/>
        <v>km/MJ</v>
      </c>
      <c r="F1308" s="1" t="str">
        <f>IFERROR(F1257/F1206,"-")</f>
        <v>-</v>
      </c>
      <c r="G1308" s="1">
        <f t="shared" ref="G1308:K1312" si="787">IFERROR(G1257/G1197,"-")</f>
        <v>0</v>
      </c>
      <c r="H1308" s="1">
        <f t="shared" si="787"/>
        <v>0</v>
      </c>
      <c r="I1308" s="1">
        <f t="shared" si="787"/>
        <v>0</v>
      </c>
      <c r="J1308" s="1">
        <f t="shared" si="787"/>
        <v>0</v>
      </c>
      <c r="K1308" s="1">
        <f t="shared" si="787"/>
        <v>0</v>
      </c>
    </row>
    <row r="1309" spans="2:11" x14ac:dyDescent="0.25">
      <c r="B1309" s="5" t="str">
        <f t="shared" si="778"/>
        <v>SPS2</v>
      </c>
      <c r="C1309" s="5" t="str">
        <f t="shared" si="776"/>
        <v>CH</v>
      </c>
      <c r="D1309" t="s">
        <v>1226</v>
      </c>
      <c r="E1309" t="str">
        <f t="shared" si="777"/>
        <v>km/MJ</v>
      </c>
      <c r="F1309" s="1">
        <f>IFERROR(F1258/F1207,"-")</f>
        <v>0.61604713903972552</v>
      </c>
      <c r="G1309" s="1">
        <f t="shared" si="787"/>
        <v>1.8627763206426322</v>
      </c>
      <c r="H1309" s="1">
        <f t="shared" si="787"/>
        <v>7.2822243007361186E-4</v>
      </c>
      <c r="I1309" s="1">
        <f t="shared" si="787"/>
        <v>9.5394286090786561E-5</v>
      </c>
      <c r="J1309" s="1">
        <f t="shared" si="787"/>
        <v>4.4284827149556835E-4</v>
      </c>
      <c r="K1309" s="1">
        <f t="shared" si="787"/>
        <v>2.0097709304894096E-3</v>
      </c>
    </row>
    <row r="1310" spans="2:11" x14ac:dyDescent="0.25">
      <c r="B1310" s="5" t="str">
        <f t="shared" si="778"/>
        <v>SPS2</v>
      </c>
      <c r="C1310" s="5" t="str">
        <f t="shared" si="776"/>
        <v>CH</v>
      </c>
      <c r="D1310" t="s">
        <v>1227</v>
      </c>
      <c r="E1310" t="str">
        <f t="shared" si="777"/>
        <v>km/MJ</v>
      </c>
      <c r="F1310" s="1">
        <f>IFERROR(F1259/F1208,"-")</f>
        <v>0.63136947871482119</v>
      </c>
      <c r="G1310" s="1">
        <f t="shared" si="787"/>
        <v>13.364046583859944</v>
      </c>
      <c r="H1310" s="1">
        <f t="shared" si="787"/>
        <v>2.4671891220547498E-2</v>
      </c>
      <c r="I1310" s="1">
        <f t="shared" si="787"/>
        <v>1.7312820562148299E-5</v>
      </c>
      <c r="J1310" s="1">
        <f t="shared" si="787"/>
        <v>8.221758465383037E-6</v>
      </c>
      <c r="K1310" s="1">
        <f t="shared" si="787"/>
        <v>4.8134909814511873E-6</v>
      </c>
    </row>
    <row r="1311" spans="2:11" x14ac:dyDescent="0.25">
      <c r="B1311" s="5" t="str">
        <f t="shared" si="778"/>
        <v>SPS2</v>
      </c>
      <c r="C1311" s="5" t="str">
        <f t="shared" si="776"/>
        <v>CH</v>
      </c>
      <c r="D1311" t="s">
        <v>1228</v>
      </c>
      <c r="E1311" t="str">
        <f t="shared" si="777"/>
        <v>km/MJ</v>
      </c>
      <c r="F1311" s="1">
        <f>IFERROR(F1260/F1209,"-")</f>
        <v>0.4682726062586417</v>
      </c>
      <c r="G1311" s="1">
        <f t="shared" si="787"/>
        <v>0.12840519405752568</v>
      </c>
      <c r="H1311" s="1">
        <f t="shared" si="787"/>
        <v>6.2110667674981475E-2</v>
      </c>
      <c r="I1311" s="1">
        <f t="shared" si="787"/>
        <v>3.2648750757710821E-3</v>
      </c>
      <c r="J1311" s="1">
        <f t="shared" si="787"/>
        <v>3.7011907565344857E-3</v>
      </c>
      <c r="K1311" s="1">
        <f t="shared" si="787"/>
        <v>3.753319646205077E-3</v>
      </c>
    </row>
    <row r="1312" spans="2:11" x14ac:dyDescent="0.25">
      <c r="B1312" s="5" t="str">
        <f t="shared" si="778"/>
        <v>SPS2</v>
      </c>
      <c r="C1312" s="5" t="str">
        <f t="shared" si="776"/>
        <v>CH</v>
      </c>
      <c r="D1312" t="s">
        <v>1229</v>
      </c>
      <c r="E1312" t="str">
        <f t="shared" si="777"/>
        <v>km/MJ</v>
      </c>
      <c r="F1312" s="1">
        <f>IFERROR(F1261/F1210,"-")</f>
        <v>0.68269153792509796</v>
      </c>
      <c r="G1312" s="1">
        <f t="shared" si="787"/>
        <v>0.2868284543364169</v>
      </c>
      <c r="H1312" s="1">
        <f t="shared" si="787"/>
        <v>0.27140360530354274</v>
      </c>
      <c r="I1312" s="1">
        <f t="shared" si="787"/>
        <v>5.1429389052825437E-2</v>
      </c>
      <c r="J1312" s="1">
        <f t="shared" si="787"/>
        <v>0.14080229687423926</v>
      </c>
      <c r="K1312" s="1">
        <f t="shared" si="787"/>
        <v>0.14539940467263937</v>
      </c>
    </row>
    <row r="1313" spans="2:16" x14ac:dyDescent="0.25">
      <c r="B1313" s="9" t="str">
        <f t="shared" si="778"/>
        <v>SPS2</v>
      </c>
      <c r="C1313" s="9" t="str">
        <f t="shared" ref="C1313" si="788">C1312</f>
        <v>CH</v>
      </c>
      <c r="D1313" s="2" t="s">
        <v>1305</v>
      </c>
      <c r="E1313" s="2" t="s">
        <v>8</v>
      </c>
      <c r="F1313" s="3">
        <f>F1314+F1320+F1325+F1339</f>
        <v>0.77089428818884076</v>
      </c>
      <c r="G1313" s="3">
        <f t="shared" ref="G1313:K1313" si="789">G1314+G1320+G1325+G1339</f>
        <v>1.3565934508264943</v>
      </c>
      <c r="H1313" s="3">
        <f t="shared" si="789"/>
        <v>2.3481080165896602</v>
      </c>
      <c r="I1313" s="3">
        <f t="shared" si="789"/>
        <v>1.1806165944950846</v>
      </c>
      <c r="J1313" s="3">
        <f t="shared" si="789"/>
        <v>1.1954007390696064</v>
      </c>
      <c r="K1313" s="3">
        <f t="shared" si="789"/>
        <v>1.1614633572167306</v>
      </c>
      <c r="M1313" s="3"/>
      <c r="N1313" s="3"/>
      <c r="O1313" s="3"/>
      <c r="P1313" s="3"/>
    </row>
    <row r="1314" spans="2:16" x14ac:dyDescent="0.25">
      <c r="B1314" s="5" t="str">
        <f t="shared" si="778"/>
        <v>SPS2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4.0819226033830241E-3</v>
      </c>
      <c r="G1314" s="1">
        <f t="shared" ref="G1314:K1314" si="790">SUM(G1315:G1319)</f>
        <v>8.3387000220465964E-3</v>
      </c>
      <c r="H1314" s="1">
        <f t="shared" si="790"/>
        <v>1.3681809093426088E-2</v>
      </c>
      <c r="I1314" s="1">
        <f t="shared" si="790"/>
        <v>1.1804856997120958</v>
      </c>
      <c r="J1314" s="1">
        <f t="shared" si="790"/>
        <v>1.1532162513282966</v>
      </c>
      <c r="K1314" s="1">
        <f t="shared" si="790"/>
        <v>1.1350210127173161</v>
      </c>
    </row>
    <row r="1315" spans="2:16" x14ac:dyDescent="0.25">
      <c r="B1315" s="5" t="str">
        <f t="shared" si="778"/>
        <v>SPS2</v>
      </c>
      <c r="C1315" s="5" t="str">
        <f t="shared" ref="C1315:C1348" si="791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3.5179430130688678E-4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4.7637313626618094E-4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4.6724113179190884E-4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778"/>
        <v>SPS2</v>
      </c>
      <c r="C1316" s="5" t="str">
        <f t="shared" si="791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3.4865215707877796E-7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7.3134158236874951E-4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2.216104395453005E-3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0.2408961677642103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0.25121450121083233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0.23552069034799389</v>
      </c>
    </row>
    <row r="1317" spans="2:16" x14ac:dyDescent="0.25">
      <c r="B1317" s="5" t="str">
        <f t="shared" si="778"/>
        <v>SPS2</v>
      </c>
      <c r="C1317" s="5" t="str">
        <f t="shared" si="791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6.0661863190796981E-4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1.6175752602168856E-3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3.428301270640719E-3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0.12243834018475806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0.12518532514626221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0.1202770579414919</v>
      </c>
    </row>
    <row r="1318" spans="2:16" x14ac:dyDescent="0.25">
      <c r="B1318" s="5" t="str">
        <f t="shared" si="778"/>
        <v>SPS2</v>
      </c>
      <c r="C1318" s="5" t="str">
        <f t="shared" si="791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3.1144107169260439E-3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5.3562799001568686E-3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7.1156449420103473E-3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0.80257745688488324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0.77666069357311462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0.77914800454656785</v>
      </c>
    </row>
    <row r="1319" spans="2:16" x14ac:dyDescent="0.25">
      <c r="B1319" s="5" t="str">
        <f t="shared" si="778"/>
        <v>SPS2</v>
      </c>
      <c r="C1319" s="5" t="str">
        <f t="shared" si="791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8.7503010850446906E-6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1.5713014303791171E-4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4.5451735353010801E-4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1.457373487824413E-2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1.5573139808755588E-4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7.5259881262464254E-5</v>
      </c>
    </row>
    <row r="1320" spans="2:16" x14ac:dyDescent="0.25">
      <c r="B1320" s="5" t="str">
        <f t="shared" si="778"/>
        <v>SPS2</v>
      </c>
      <c r="C1320" s="5" t="str">
        <f t="shared" si="791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792">SUM(G1321:G1324)</f>
        <v>0</v>
      </c>
      <c r="H1320" s="1">
        <f t="shared" si="792"/>
        <v>0</v>
      </c>
      <c r="I1320" s="1">
        <f t="shared" si="792"/>
        <v>8.7775547517329102E-5</v>
      </c>
      <c r="J1320" s="1">
        <f t="shared" si="792"/>
        <v>4.2124477217652376E-2</v>
      </c>
      <c r="K1320" s="1">
        <f t="shared" si="792"/>
        <v>2.643830702064074E-2</v>
      </c>
    </row>
    <row r="1321" spans="2:16" x14ac:dyDescent="0.25">
      <c r="B1321" s="5" t="str">
        <f t="shared" si="778"/>
        <v>SPS2</v>
      </c>
      <c r="C1321" s="5" t="str">
        <f t="shared" si="791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4.1887640102878126E-5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1.3767967090035987E-3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1.0513670598741231E-2</v>
      </c>
    </row>
    <row r="1322" spans="2:16" x14ac:dyDescent="0.25">
      <c r="B1322" s="5" t="str">
        <f t="shared" si="778"/>
        <v>SPS2</v>
      </c>
      <c r="C1322" s="5" t="str">
        <f t="shared" si="791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2.4596810713980546E-5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7.4964516601567284E-4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9.300978444006558E-4</v>
      </c>
    </row>
    <row r="1323" spans="2:16" x14ac:dyDescent="0.25">
      <c r="B1323" s="5" t="str">
        <f t="shared" si="778"/>
        <v>SPS2</v>
      </c>
      <c r="C1323" s="5" t="str">
        <f t="shared" si="791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1.6095027311729075E-5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3.9955988923603754E-2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1.4988301708968785E-2</v>
      </c>
    </row>
    <row r="1324" spans="2:16" x14ac:dyDescent="0.25">
      <c r="B1324" s="5" t="str">
        <f t="shared" si="778"/>
        <v>SPS2</v>
      </c>
      <c r="C1324" s="5" t="str">
        <f t="shared" si="791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5.1960693887413398E-6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4.2046419029347547E-5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6.2368685300655717E-6</v>
      </c>
    </row>
    <row r="1325" spans="2:16" x14ac:dyDescent="0.25">
      <c r="B1325" s="5" t="str">
        <f t="shared" si="778"/>
        <v>SPS2</v>
      </c>
      <c r="C1325" s="5" t="str">
        <f t="shared" si="791"/>
        <v>CH</v>
      </c>
      <c r="D1325" t="s">
        <v>1318</v>
      </c>
      <c r="E1325" t="s">
        <v>8</v>
      </c>
      <c r="F1325" s="1">
        <f>SUM(F1330:F1338)</f>
        <v>0.7664967664323028</v>
      </c>
      <c r="G1325" s="1">
        <f t="shared" ref="G1325:K1325" si="793">SUM(G1330:G1338)</f>
        <v>1.3352616601147675</v>
      </c>
      <c r="H1325" s="1">
        <f t="shared" si="793"/>
        <v>2.2949858618805399</v>
      </c>
      <c r="I1325" s="1">
        <f t="shared" si="793"/>
        <v>4.1797952071522002E-5</v>
      </c>
      <c r="J1325" s="1">
        <f t="shared" si="793"/>
        <v>5.1018319393386798E-5</v>
      </c>
      <c r="K1325" s="1">
        <f t="shared" si="793"/>
        <v>2.6260335766515477E-6</v>
      </c>
    </row>
    <row r="1326" spans="2:16" x14ac:dyDescent="0.25">
      <c r="B1326" s="5" t="str">
        <f t="shared" si="778"/>
        <v>SPS2</v>
      </c>
      <c r="C1326" s="5" t="str">
        <f t="shared" si="791"/>
        <v>CH</v>
      </c>
      <c r="D1326" t="s">
        <v>1319</v>
      </c>
      <c r="E1326" t="s">
        <v>8</v>
      </c>
      <c r="F1326" s="1">
        <f>F1325-F1327</f>
        <v>0.7485281681201662</v>
      </c>
      <c r="G1326" s="1">
        <f t="shared" ref="G1326:K1326" si="794">G1325-G1327</f>
        <v>1.300463975376593</v>
      </c>
      <c r="H1326" s="1">
        <f t="shared" si="794"/>
        <v>2.2156789278038893</v>
      </c>
      <c r="I1326" s="1">
        <f t="shared" si="794"/>
        <v>3.9714844351012745E-5</v>
      </c>
      <c r="J1326" s="1">
        <f t="shared" si="794"/>
        <v>4.0869795175465483E-5</v>
      </c>
      <c r="K1326" s="1">
        <f t="shared" si="794"/>
        <v>-1.2014734755707349E-7</v>
      </c>
    </row>
    <row r="1327" spans="2:16" x14ac:dyDescent="0.25">
      <c r="B1327" s="5" t="str">
        <f t="shared" si="778"/>
        <v>SPS2</v>
      </c>
      <c r="C1327" s="5" t="str">
        <f t="shared" si="791"/>
        <v>CH</v>
      </c>
      <c r="D1327" t="s">
        <v>1320</v>
      </c>
      <c r="E1327" t="s">
        <v>8</v>
      </c>
      <c r="F1327" s="1">
        <f>SUM(F1328:F1329)</f>
        <v>1.7968598312136565E-2</v>
      </c>
      <c r="G1327" s="1">
        <f t="shared" ref="G1327" si="795">SUM(G1328:G1329)</f>
        <v>3.4797684738174621E-2</v>
      </c>
      <c r="H1327" s="1">
        <f t="shared" ref="H1327" si="796">SUM(H1328:H1329)</f>
        <v>7.9306934076650695E-2</v>
      </c>
      <c r="I1327" s="1">
        <f t="shared" ref="I1327" si="797">SUM(I1328:I1329)</f>
        <v>2.0831077205092566E-6</v>
      </c>
      <c r="J1327" s="1">
        <f t="shared" ref="J1327" si="798">SUM(J1328:J1329)</f>
        <v>1.0148524217921315E-5</v>
      </c>
      <c r="K1327" s="1">
        <f t="shared" ref="K1327" si="799">SUM(K1328:K1329)</f>
        <v>2.7461809242086212E-6</v>
      </c>
    </row>
    <row r="1328" spans="2:16" x14ac:dyDescent="0.25">
      <c r="B1328" s="5" t="str">
        <f t="shared" si="778"/>
        <v>SPS2</v>
      </c>
      <c r="C1328" s="5" t="str">
        <f t="shared" si="791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1.7968598312136565E-2</v>
      </c>
      <c r="G1328" s="1">
        <f>[1]Transport!C$26/SUM([1]Transport!C$22,[1]Transport!C$26)*G1325*(G$33+G$580)/(G$33+G$580+G$36)</f>
        <v>3.4797684738174621E-2</v>
      </c>
      <c r="H1328" s="1">
        <f>[1]Transport!D$26/SUM([1]Transport!D$22,[1]Transport!D$26)*H1325*(H$33+H$580)/(H$33+H$580+H$36)</f>
        <v>7.9306934076650695E-2</v>
      </c>
      <c r="I1328" s="1">
        <f>[1]Transport!E$26/SUM([1]Transport!E$22,[1]Transport!E$26)*I1325*(I$33+I$580)/(I$33+I$580+I$36)</f>
        <v>2.0831077205092566E-6</v>
      </c>
      <c r="J1328" s="1">
        <f>[1]Transport!F$26/SUM([1]Transport!F$22,[1]Transport!F$26)*J1325*(J$33+J$580)/(J$33+J$580+J$36)</f>
        <v>4.1941672268215761E-6</v>
      </c>
      <c r="K1328" s="1">
        <f>[1]Transport!G$26/SUM([1]Transport!G$22,[1]Transport!G$26)*K1325*(K$33+K$580)/(K$33+K$580+K$36)</f>
        <v>6.5776958864295432E-7</v>
      </c>
    </row>
    <row r="1329" spans="2:11" x14ac:dyDescent="0.25">
      <c r="B1329" s="5" t="str">
        <f t="shared" si="778"/>
        <v>SPS2</v>
      </c>
      <c r="C1329" s="5" t="str">
        <f t="shared" si="791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5.9543569910997378E-6</v>
      </c>
      <c r="K1329" s="1">
        <f>(K$36+K$716)/([1]Transport!G$22+[1]Transport!G$26)*K1325</f>
        <v>2.0884113355656667E-6</v>
      </c>
    </row>
    <row r="1330" spans="2:11" x14ac:dyDescent="0.25">
      <c r="B1330" s="5" t="str">
        <f t="shared" si="778"/>
        <v>SPS2</v>
      </c>
      <c r="C1330" s="5" t="str">
        <f t="shared" si="791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6.9022968782712329E-2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6.9455447116406027E-2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0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1.5387388158031351E-6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</v>
      </c>
    </row>
    <row r="1331" spans="2:11" x14ac:dyDescent="0.25">
      <c r="B1331" s="5" t="str">
        <f t="shared" si="778"/>
        <v>SPS2</v>
      </c>
      <c r="C1331" s="5" t="str">
        <f t="shared" si="791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5.9213624814239481E-4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8.5474283805778357E-4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0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2.6783637513261335E-6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0</v>
      </c>
    </row>
    <row r="1332" spans="2:11" x14ac:dyDescent="0.25">
      <c r="B1332" s="5" t="str">
        <f t="shared" ref="B1332:B1395" si="800">B1331</f>
        <v>SPS2</v>
      </c>
      <c r="C1332" s="5" t="str">
        <f t="shared" si="791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7.6057086487624583E-4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1.0460452399530438E-3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0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2.6325797542549109E-5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2.6260335766515477E-6</v>
      </c>
    </row>
    <row r="1333" spans="2:11" x14ac:dyDescent="0.25">
      <c r="B1333" s="5" t="str">
        <f t="shared" si="800"/>
        <v>SPS2</v>
      </c>
      <c r="C1333" s="5" t="str">
        <f t="shared" si="791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1.9257170089325561E-5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3.9903491069086864E-5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0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7.7278626710967811E-6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0</v>
      </c>
    </row>
    <row r="1334" spans="2:11" x14ac:dyDescent="0.25">
      <c r="B1334" s="5" t="str">
        <f t="shared" si="800"/>
        <v>SPS2</v>
      </c>
      <c r="C1334" s="5" t="str">
        <f t="shared" si="791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1.7338234151693076E-2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1.7318065267561047E-2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1.7249070176097715E-2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00"/>
        <v>SPS2</v>
      </c>
      <c r="C1335" s="5" t="str">
        <f t="shared" si="791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2.7421285076319895E-4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0.18254814664608629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0.38062013502118031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4.1797952071522002E-5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1.7995727494165029E-6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0</v>
      </c>
    </row>
    <row r="1336" spans="2:11" x14ac:dyDescent="0.25">
      <c r="B1336" s="5" t="str">
        <f t="shared" si="800"/>
        <v>SPS2</v>
      </c>
      <c r="C1336" s="5" t="str">
        <f t="shared" si="791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0.10944675508021737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0.13610778913921237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0.23328772864463598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0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0</v>
      </c>
    </row>
    <row r="1337" spans="2:11" x14ac:dyDescent="0.25">
      <c r="B1337" s="5" t="str">
        <f t="shared" si="800"/>
        <v>SPS2</v>
      </c>
      <c r="C1337" s="5" t="str">
        <f t="shared" si="791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0.63542356541869871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0.92862573585298558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1.5920753290082823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0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4.8288635644146591E-6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0</v>
      </c>
    </row>
    <row r="1338" spans="2:11" x14ac:dyDescent="0.25">
      <c r="B1338" s="5" t="str">
        <f t="shared" si="800"/>
        <v>SPS2</v>
      </c>
      <c r="C1338" s="5" t="str">
        <f t="shared" si="791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4.0139989309305084E-3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2.6699014310189436E-4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3.5746034485745491E-4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0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6.1191202987804758E-6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25">
      <c r="B1339" s="5" t="str">
        <f t="shared" si="800"/>
        <v>SPS2</v>
      </c>
      <c r="C1339" s="5" t="str">
        <f t="shared" si="791"/>
        <v>CH</v>
      </c>
      <c r="D1339" t="s">
        <v>1344</v>
      </c>
      <c r="E1339" t="s">
        <v>8</v>
      </c>
      <c r="F1339" s="1">
        <f>SUM(F1344:F1348)</f>
        <v>3.1559915315498312E-4</v>
      </c>
      <c r="G1339" s="1">
        <f t="shared" ref="G1339:K1339" si="801">SUM(G1344:G1348)</f>
        <v>1.2993090689680267E-2</v>
      </c>
      <c r="H1339" s="1">
        <f t="shared" si="801"/>
        <v>3.9440345615694407E-2</v>
      </c>
      <c r="I1339" s="1">
        <f t="shared" si="801"/>
        <v>1.3212833999872287E-6</v>
      </c>
      <c r="J1339" s="1">
        <f t="shared" si="801"/>
        <v>8.9922042640538589E-6</v>
      </c>
      <c r="K1339" s="1">
        <f t="shared" si="801"/>
        <v>1.4114451972289844E-6</v>
      </c>
    </row>
    <row r="1340" spans="2:11" x14ac:dyDescent="0.25">
      <c r="B1340" s="5" t="str">
        <f t="shared" si="800"/>
        <v>SPS2</v>
      </c>
      <c r="C1340" s="5" t="str">
        <f t="shared" si="791"/>
        <v>CH</v>
      </c>
      <c r="D1340" t="s">
        <v>1345</v>
      </c>
      <c r="E1340" t="s">
        <v>8</v>
      </c>
      <c r="F1340" s="1">
        <f>F1339-F1341</f>
        <v>2.9184549084569736E-4</v>
      </c>
      <c r="G1340" s="1">
        <f t="shared" ref="G1340:K1340" si="802">G1339-G1341</f>
        <v>1.1756374701856736E-2</v>
      </c>
      <c r="H1340" s="1">
        <f t="shared" si="802"/>
        <v>3.5661947287444762E-2</v>
      </c>
      <c r="I1340" s="1">
        <f t="shared" si="802"/>
        <v>1.049102556110905E-6</v>
      </c>
      <c r="J1340" s="1">
        <f t="shared" si="802"/>
        <v>-2.5489301092189542E-3</v>
      </c>
      <c r="K1340" s="1">
        <f t="shared" si="802"/>
        <v>-3.8794146174273569E-2</v>
      </c>
    </row>
    <row r="1341" spans="2:11" x14ac:dyDescent="0.25">
      <c r="B1341" s="5" t="str">
        <f t="shared" si="800"/>
        <v>SPS2</v>
      </c>
      <c r="C1341" s="5" t="str">
        <f t="shared" si="791"/>
        <v>CH</v>
      </c>
      <c r="D1341" t="s">
        <v>1346</v>
      </c>
      <c r="E1341" t="s">
        <v>8</v>
      </c>
      <c r="F1341" s="1">
        <f>SUM(F1342:F1343)</f>
        <v>2.3753662309285778E-5</v>
      </c>
      <c r="G1341" s="1">
        <f t="shared" ref="G1341" si="803">SUM(G1342:G1343)</f>
        <v>1.2367159878235304E-3</v>
      </c>
      <c r="H1341" s="1">
        <f t="shared" ref="H1341" si="804">SUM(H1342:H1343)</f>
        <v>3.778398328249648E-3</v>
      </c>
      <c r="I1341" s="1">
        <f t="shared" ref="I1341" si="805">SUM(I1342:I1343)</f>
        <v>2.7218084387632375E-7</v>
      </c>
      <c r="J1341" s="1">
        <f t="shared" ref="J1341" si="806">SUM(J1342:J1343)</f>
        <v>2.557922313483008E-3</v>
      </c>
      <c r="K1341" s="1">
        <f t="shared" ref="K1341" si="807">SUM(K1342:K1343)</f>
        <v>3.8795557619470795E-2</v>
      </c>
    </row>
    <row r="1342" spans="2:11" x14ac:dyDescent="0.25">
      <c r="B1342" s="5" t="str">
        <f t="shared" si="800"/>
        <v>SPS2</v>
      </c>
      <c r="C1342" s="5" t="str">
        <f t="shared" si="791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2.3753662309285778E-5</v>
      </c>
      <c r="G1342" s="1">
        <f>[1]Transport!C$27/SUM([1]Transport!C$24,[1]Transport!C$27)*G1339*(G$45+G$612)/(G$45+G$612+G$47)</f>
        <v>1.2367159878235304E-3</v>
      </c>
      <c r="H1342" s="1">
        <f>[1]Transport!D$27/SUM([1]Transport!D$24,[1]Transport!D$27)*H1339*(H$45+H$612)/(H$45+H$612+H$47)</f>
        <v>3.778398328249648E-3</v>
      </c>
      <c r="I1342" s="1">
        <f>[1]Transport!E$27/SUM([1]Transport!E$24,[1]Transport!E$27)*I1339*(I$45+I$612)/(I$45+I$612+I$47)</f>
        <v>2.7218084387632375E-7</v>
      </c>
      <c r="J1342" s="1">
        <f>[1]Transport!F$27/SUM([1]Transport!F$24,[1]Transport!F$27)*J1339*(J$45+J$612)/(J$45+J$612+J$47)</f>
        <v>2.1963524721275702E-6</v>
      </c>
      <c r="K1342" s="1">
        <f>[1]Transport!G$27/SUM([1]Transport!G$24,[1]Transport!G$27)*K1339*(K$45+K$612)/(K$45+K$612+K$47)</f>
        <v>7.0414063216370306E-7</v>
      </c>
    </row>
    <row r="1343" spans="2:11" x14ac:dyDescent="0.25">
      <c r="B1343" s="5" t="str">
        <f t="shared" si="800"/>
        <v>SPS2</v>
      </c>
      <c r="C1343" s="5" t="str">
        <f t="shared" si="791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2.5557259610108803E-3</v>
      </c>
      <c r="K1343" s="1">
        <f>(K$47+K$714)/([1]Transport!G$24+[1]Transport!G$27)*K1339</f>
        <v>3.8794853478838633E-2</v>
      </c>
    </row>
    <row r="1344" spans="2:11" x14ac:dyDescent="0.25">
      <c r="B1344" s="5" t="str">
        <f t="shared" si="800"/>
        <v>SPS2</v>
      </c>
      <c r="C1344" s="5" t="str">
        <f t="shared" si="791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3.1559915315498312E-4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3.1717391489735934E-4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3.1617736617814402E-4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00"/>
        <v>SPS2</v>
      </c>
      <c r="C1345" s="5" t="str">
        <f t="shared" si="791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1.8851841853913867E-3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2.7067630170700533E-3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1.3212833999872287E-6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6.2704078258794972E-6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1.4114451972289844E-6</v>
      </c>
    </row>
    <row r="1346" spans="2:11" x14ac:dyDescent="0.25">
      <c r="B1346" s="5" t="str">
        <f t="shared" si="800"/>
        <v>SPS2</v>
      </c>
      <c r="C1346" s="5" t="str">
        <f t="shared" si="791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2.8834795589466672E-3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4.7113110673343787E-3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0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2.580855439532043E-6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0</v>
      </c>
    </row>
    <row r="1347" spans="2:11" x14ac:dyDescent="0.25">
      <c r="B1347" s="5" t="str">
        <f t="shared" si="800"/>
        <v>SPS2</v>
      </c>
      <c r="C1347" s="5" t="str">
        <f t="shared" si="791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7.8896037211336513E-3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3.1655992367792284E-2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0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1.4094099864231899E-7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0</v>
      </c>
    </row>
    <row r="1348" spans="2:11" x14ac:dyDescent="0.25">
      <c r="B1348" s="5" t="str">
        <f t="shared" si="800"/>
        <v>SPS2</v>
      </c>
      <c r="C1348" s="5" t="str">
        <f t="shared" si="791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1.764930931120134E-5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5.0101797319545267E-5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0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0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25">
      <c r="B1349" s="5" t="str">
        <f t="shared" si="800"/>
        <v>SPS2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0.29539742175597494</v>
      </c>
      <c r="G1349" s="3">
        <f t="shared" ref="G1349:K1349" si="808">SUM(G1350:G1372)</f>
        <v>0.3024432667241827</v>
      </c>
      <c r="H1349" s="3">
        <f t="shared" si="808"/>
        <v>0.30908911419811486</v>
      </c>
      <c r="I1349" s="3">
        <f t="shared" si="808"/>
        <v>0.3227943466009936</v>
      </c>
      <c r="J1349" s="3">
        <f t="shared" si="808"/>
        <v>0.35121888389193118</v>
      </c>
      <c r="K1349" s="3">
        <f t="shared" si="808"/>
        <v>0.37570301303655851</v>
      </c>
    </row>
    <row r="1350" spans="2:11" x14ac:dyDescent="0.25">
      <c r="B1350" s="5" t="str">
        <f t="shared" si="800"/>
        <v>SPS2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1.4742306816817744E-3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1.6071642175089706E-3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1.0038537927189836E-3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si="800"/>
        <v>SPS2</v>
      </c>
      <c r="C1351" s="5" t="str">
        <f t="shared" ref="C1351:C1372" si="809">C1350</f>
        <v>CH</v>
      </c>
      <c r="D1351" t="s">
        <v>1351</v>
      </c>
      <c r="E1351" t="str">
        <f t="shared" ref="E1351:E1372" si="810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1.3203220698467771E-7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2.8699147974725755E-4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9.0016558481454355E-4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0.10774797280901964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0.11914213996365454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0.12469172713118531</v>
      </c>
    </row>
    <row r="1352" spans="2:11" x14ac:dyDescent="0.25">
      <c r="B1352" s="5" t="str">
        <f t="shared" si="800"/>
        <v>SPS2</v>
      </c>
      <c r="C1352" s="5" t="str">
        <f t="shared" si="809"/>
        <v>CH</v>
      </c>
      <c r="D1352" t="s">
        <v>1352</v>
      </c>
      <c r="E1352" t="str">
        <f t="shared" si="810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1.6692974277328227E-4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4.5042825167760991E-4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9.9236401738270435E-4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3.9646465011942869E-2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4.2996523473691775E-2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4.5953023584105961E-2</v>
      </c>
    </row>
    <row r="1353" spans="2:11" x14ac:dyDescent="0.25">
      <c r="B1353" s="5" t="str">
        <f t="shared" si="800"/>
        <v>SPS2</v>
      </c>
      <c r="C1353" s="5" t="str">
        <f t="shared" si="809"/>
        <v>CH</v>
      </c>
      <c r="D1353" t="s">
        <v>1353</v>
      </c>
      <c r="E1353" t="str">
        <f t="shared" si="810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5.6984499685969398E-4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9.936605537781292E-4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1.3431139651346471E-3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0.1732787847056047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0.18334784972625409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0.19971208799198853</v>
      </c>
    </row>
    <row r="1354" spans="2:11" x14ac:dyDescent="0.25">
      <c r="B1354" s="5" t="str">
        <f t="shared" si="800"/>
        <v>SPS2</v>
      </c>
      <c r="C1354" s="5" t="str">
        <f t="shared" si="809"/>
        <v>CH</v>
      </c>
      <c r="D1354" t="s">
        <v>1354</v>
      </c>
      <c r="E1354" t="str">
        <f t="shared" si="810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1.0674239100015207E-6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1.9528063331295083E-5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5.8180180544390963E-5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2.0995856252286681E-3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2.4435460177318298E-5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1.2780566897087727E-5</v>
      </c>
    </row>
    <row r="1355" spans="2:11" x14ac:dyDescent="0.25">
      <c r="B1355" s="5" t="str">
        <f t="shared" si="800"/>
        <v>SPS2</v>
      </c>
      <c r="C1355" s="5" t="str">
        <f t="shared" si="809"/>
        <v>CH</v>
      </c>
      <c r="D1355" t="s">
        <v>1355</v>
      </c>
      <c r="E1355" t="str">
        <f t="shared" si="810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9.8185366354317345E-6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3.6745428643454885E-4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3.1685215058370429E-3</v>
      </c>
    </row>
    <row r="1356" spans="2:11" x14ac:dyDescent="0.25">
      <c r="B1356" s="5" t="str">
        <f t="shared" si="800"/>
        <v>SPS2</v>
      </c>
      <c r="C1356" s="5" t="str">
        <f t="shared" si="809"/>
        <v>CH</v>
      </c>
      <c r="D1356" t="s">
        <v>1356</v>
      </c>
      <c r="E1356" t="str">
        <f t="shared" si="810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4.1593579438621042E-6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1.4368270731890352E-4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1.9505677567370627E-4</v>
      </c>
    </row>
    <row r="1357" spans="2:11" x14ac:dyDescent="0.25">
      <c r="B1357" s="5" t="str">
        <f t="shared" si="800"/>
        <v>SPS2</v>
      </c>
      <c r="C1357" s="5" t="str">
        <f t="shared" si="809"/>
        <v>CH</v>
      </c>
      <c r="D1357" t="s">
        <v>1357</v>
      </c>
      <c r="E1357" t="str">
        <f t="shared" si="810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1.8204826483458138E-6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5.1872634527257381E-3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1.9687290073189543E-3</v>
      </c>
    </row>
    <row r="1358" spans="2:11" x14ac:dyDescent="0.25">
      <c r="B1358" s="5" t="str">
        <f t="shared" si="800"/>
        <v>SPS2</v>
      </c>
      <c r="C1358" s="5" t="str">
        <f t="shared" si="809"/>
        <v>CH</v>
      </c>
      <c r="D1358" t="s">
        <v>1358</v>
      </c>
      <c r="E1358" t="str">
        <f t="shared" si="810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3.9436426073131987E-7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3.5464066831676958E-6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6.1137610225555779E-7</v>
      </c>
    </row>
    <row r="1359" spans="2:11" x14ac:dyDescent="0.25">
      <c r="B1359" s="5" t="str">
        <f t="shared" si="800"/>
        <v>SPS2</v>
      </c>
      <c r="C1359" s="5" t="str">
        <f t="shared" si="809"/>
        <v>CH</v>
      </c>
      <c r="D1359" t="s">
        <v>1359</v>
      </c>
      <c r="E1359" t="str">
        <f t="shared" si="810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1.1217178020385793E-2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1.1291256923595543E-2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0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3.1490046343529476E-7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0</v>
      </c>
    </row>
    <row r="1360" spans="2:11" x14ac:dyDescent="0.25">
      <c r="B1360" s="5" t="str">
        <f t="shared" si="800"/>
        <v>SPS2</v>
      </c>
      <c r="C1360" s="5" t="str">
        <f t="shared" si="809"/>
        <v>CH</v>
      </c>
      <c r="D1360" t="s">
        <v>1360</v>
      </c>
      <c r="E1360" t="str">
        <f t="shared" si="810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6.8980281221761732E-5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1.0108262460018009E-4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0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3.9284131777849493E-7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0</v>
      </c>
    </row>
    <row r="1361" spans="2:11" x14ac:dyDescent="0.25">
      <c r="B1361" s="5" t="str">
        <f t="shared" si="800"/>
        <v>SPS2</v>
      </c>
      <c r="C1361" s="5" t="str">
        <f t="shared" si="809"/>
        <v>CH</v>
      </c>
      <c r="D1361" t="s">
        <v>1361</v>
      </c>
      <c r="E1361" t="str">
        <f t="shared" si="810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5.9503891491443142E-5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8.2923411302231659E-5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0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2.5596400389057753E-6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2.5927352753769307E-7</v>
      </c>
    </row>
    <row r="1362" spans="2:11" x14ac:dyDescent="0.25">
      <c r="B1362" s="5" t="str">
        <f t="shared" si="800"/>
        <v>SPS2</v>
      </c>
      <c r="C1362" s="5" t="str">
        <f t="shared" si="809"/>
        <v>CH</v>
      </c>
      <c r="D1362" t="s">
        <v>1362</v>
      </c>
      <c r="E1362" t="str">
        <f t="shared" si="810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1.0158434492727182E-6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2.1517101949175463E-6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0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5.1526888603724845E-7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0</v>
      </c>
    </row>
    <row r="1363" spans="2:11" x14ac:dyDescent="0.25">
      <c r="B1363" s="5" t="str">
        <f t="shared" si="800"/>
        <v>SPS2</v>
      </c>
      <c r="C1363" s="5" t="str">
        <f t="shared" si="809"/>
        <v>CH</v>
      </c>
      <c r="D1363" t="s">
        <v>2002</v>
      </c>
      <c r="E1363" t="str">
        <f t="shared" si="810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0.24219225702494662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0.19378216322341821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0.12110520908862091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00"/>
        <v>SPS2</v>
      </c>
      <c r="C1364" s="5" t="str">
        <f t="shared" si="809"/>
        <v>CH</v>
      </c>
      <c r="D1364" t="s">
        <v>1363</v>
      </c>
      <c r="E1364" t="str">
        <f t="shared" si="810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3.3980228180531514E-5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2.3459001206680052E-2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5.0279634419259513E-2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5.1795674233216917E-6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2.9292609102159396E-7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0</v>
      </c>
    </row>
    <row r="1365" spans="2:11" x14ac:dyDescent="0.25">
      <c r="B1365" s="5" t="str">
        <f t="shared" si="800"/>
        <v>SPS2</v>
      </c>
      <c r="C1365" s="5" t="str">
        <f t="shared" si="809"/>
        <v>CH</v>
      </c>
      <c r="D1365" t="s">
        <v>1364</v>
      </c>
      <c r="E1365" t="str">
        <f t="shared" si="810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9.5728531985866134E-3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1.1951560541411561E-2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2.119545307394826E-2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0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0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0</v>
      </c>
    </row>
    <row r="1366" spans="2:11" x14ac:dyDescent="0.25">
      <c r="B1366" s="5" t="str">
        <f t="shared" si="800"/>
        <v>SPS2</v>
      </c>
      <c r="C1366" s="5" t="str">
        <f t="shared" si="809"/>
        <v>CH</v>
      </c>
      <c r="D1366" t="s">
        <v>1365</v>
      </c>
      <c r="E1366" t="str">
        <f t="shared" si="810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3.6822495687543352E-2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5.4069909315390352E-2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9.5905722485974773E-2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3.6298826891351229E-7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0</v>
      </c>
    </row>
    <row r="1367" spans="2:11" x14ac:dyDescent="0.25">
      <c r="B1367" s="5" t="str">
        <f t="shared" si="800"/>
        <v>SPS2</v>
      </c>
      <c r="C1367" s="5" t="str">
        <f t="shared" si="809"/>
        <v>CH</v>
      </c>
      <c r="D1367" t="s">
        <v>1366</v>
      </c>
      <c r="E1367" t="str">
        <f t="shared" si="810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1.551269349754469E-4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1.0384945350709259E-5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1.4012679180503827E-5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0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3.0513327252200908E-7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25">
      <c r="B1368" s="5" t="str">
        <f t="shared" si="800"/>
        <v>SPS2</v>
      </c>
      <c r="C1368" s="5" t="str">
        <f t="shared" si="809"/>
        <v>CH</v>
      </c>
      <c r="D1368" t="s">
        <v>2006</v>
      </c>
      <c r="E1368" t="str">
        <f t="shared" si="810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4.4085038043106175E-3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3.5482233415372912E-3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2.2178163711888705E-3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00"/>
        <v>SPS2</v>
      </c>
      <c r="C1369" s="5" t="str">
        <f t="shared" si="809"/>
        <v>CH</v>
      </c>
      <c r="D1369" t="s">
        <v>1367</v>
      </c>
      <c r="E1369" t="str">
        <f t="shared" si="810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2.2666987072050425E-4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3.3009846842357344E-4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1.6614028602263199E-7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9.588073366075119E-7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2.1582392212786753E-7</v>
      </c>
    </row>
    <row r="1370" spans="2:11" x14ac:dyDescent="0.25">
      <c r="B1370" s="5" t="str">
        <f t="shared" si="800"/>
        <v>SPS2</v>
      </c>
      <c r="C1370" s="5" t="str">
        <f t="shared" si="809"/>
        <v>CH</v>
      </c>
      <c r="D1370" t="s">
        <v>1368</v>
      </c>
      <c r="E1370" t="str">
        <f t="shared" si="810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2.4509021536940178E-4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4.0838729694278727E-4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0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2.7590841556934469E-7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0</v>
      </c>
    </row>
    <row r="1371" spans="2:11" x14ac:dyDescent="0.25">
      <c r="B1371" s="5" t="str">
        <f t="shared" si="800"/>
        <v>SPS2</v>
      </c>
      <c r="C1371" s="5" t="str">
        <f t="shared" si="809"/>
        <v>CH</v>
      </c>
      <c r="D1371" t="s">
        <v>1369</v>
      </c>
      <c r="E1371" t="str">
        <f t="shared" si="810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4.4514827411007641E-4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1.8557464066162059E-3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0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1.00009003836474E-8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0</v>
      </c>
    </row>
    <row r="1372" spans="2:11" x14ac:dyDescent="0.25">
      <c r="B1372" s="5" t="str">
        <f t="shared" si="800"/>
        <v>SPS2</v>
      </c>
      <c r="C1372" s="5" t="str">
        <f t="shared" si="809"/>
        <v>CH</v>
      </c>
      <c r="D1372" t="s">
        <v>1370</v>
      </c>
      <c r="E1372" t="str">
        <f t="shared" si="810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6.651876029819812E-7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1.9416976712450417E-6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0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0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25">
      <c r="B1373" s="5" t="str">
        <f t="shared" si="800"/>
        <v>SPS2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si="800"/>
        <v>SPS2</v>
      </c>
      <c r="C1374" s="5" t="str">
        <f t="shared" ref="C1374:C1396" si="811">C1373</f>
        <v>CH</v>
      </c>
      <c r="D1374" t="s">
        <v>1372</v>
      </c>
      <c r="E1374" t="s">
        <v>1230</v>
      </c>
      <c r="F1374" s="1">
        <f>IFERROR(F1350/F1315,"-")</f>
        <v>4.1906042144660365</v>
      </c>
      <c r="G1374" s="1">
        <f t="shared" ref="G1374:K1374" si="812">IFERROR(G1350/G1315,"-")</f>
        <v>3.373750732683932</v>
      </c>
      <c r="H1374" s="1">
        <f t="shared" si="812"/>
        <v>2.1484705100107955</v>
      </c>
      <c r="I1374" s="1" t="str">
        <f t="shared" si="812"/>
        <v>-</v>
      </c>
      <c r="J1374" s="1" t="str">
        <f t="shared" si="812"/>
        <v>-</v>
      </c>
      <c r="K1374" s="1" t="str">
        <f t="shared" si="812"/>
        <v>-</v>
      </c>
    </row>
    <row r="1375" spans="2:11" x14ac:dyDescent="0.25">
      <c r="B1375" s="5" t="str">
        <f t="shared" si="800"/>
        <v>SPS2</v>
      </c>
      <c r="C1375" s="5" t="str">
        <f t="shared" si="811"/>
        <v>CH</v>
      </c>
      <c r="D1375" t="s">
        <v>1373</v>
      </c>
      <c r="E1375" t="s">
        <v>1230</v>
      </c>
      <c r="F1375" s="1">
        <f t="shared" ref="F1375:K1375" si="813">IFERROR(F1351/F1316,"-")</f>
        <v>0.37869321701871772</v>
      </c>
      <c r="G1375" s="1">
        <f t="shared" si="813"/>
        <v>0.39241783410936104</v>
      </c>
      <c r="H1375" s="1">
        <f t="shared" si="813"/>
        <v>0.40619277081959682</v>
      </c>
      <c r="I1375" s="1">
        <f t="shared" si="813"/>
        <v>0.4472797297235695</v>
      </c>
      <c r="J1375" s="1">
        <f t="shared" si="813"/>
        <v>0.47426458022685652</v>
      </c>
      <c r="K1375" s="1">
        <f t="shared" si="813"/>
        <v>0.52943003413817658</v>
      </c>
    </row>
    <row r="1376" spans="2:11" x14ac:dyDescent="0.25">
      <c r="B1376" s="5" t="str">
        <f t="shared" si="800"/>
        <v>SPS2</v>
      </c>
      <c r="C1376" s="5" t="str">
        <f t="shared" si="811"/>
        <v>CH</v>
      </c>
      <c r="D1376" t="s">
        <v>1374</v>
      </c>
      <c r="E1376" t="s">
        <v>1230</v>
      </c>
      <c r="F1376" s="1">
        <f t="shared" ref="F1376:K1376" si="814">IFERROR(F1352/F1317,"-")</f>
        <v>0.27518070496490654</v>
      </c>
      <c r="G1376" s="1">
        <f t="shared" si="814"/>
        <v>0.27845891486818125</v>
      </c>
      <c r="H1376" s="1">
        <f t="shared" si="814"/>
        <v>0.28946231356068669</v>
      </c>
      <c r="I1376" s="1">
        <f t="shared" si="814"/>
        <v>0.32380759941793397</v>
      </c>
      <c r="J1376" s="1">
        <f t="shared" si="814"/>
        <v>0.34346296918952857</v>
      </c>
      <c r="K1376" s="1">
        <f t="shared" si="814"/>
        <v>0.38205975745149628</v>
      </c>
    </row>
    <row r="1377" spans="2:11" x14ac:dyDescent="0.25">
      <c r="B1377" s="5" t="str">
        <f t="shared" si="800"/>
        <v>SPS2</v>
      </c>
      <c r="C1377" s="5" t="str">
        <f t="shared" si="811"/>
        <v>CH</v>
      </c>
      <c r="D1377" t="s">
        <v>1375</v>
      </c>
      <c r="E1377" t="s">
        <v>1230</v>
      </c>
      <c r="F1377" s="1">
        <f t="shared" ref="F1377:K1377" si="815">IFERROR(F1353/F1318,"-")</f>
        <v>0.18297040713439908</v>
      </c>
      <c r="G1377" s="1">
        <f t="shared" si="815"/>
        <v>0.18551318682002185</v>
      </c>
      <c r="H1377" s="1">
        <f t="shared" si="815"/>
        <v>0.18875505679112536</v>
      </c>
      <c r="I1377" s="1">
        <f t="shared" si="815"/>
        <v>0.21590288042498401</v>
      </c>
      <c r="J1377" s="1">
        <f t="shared" si="815"/>
        <v>0.23607200833447839</v>
      </c>
      <c r="K1377" s="1">
        <f t="shared" si="815"/>
        <v>0.25632111848661254</v>
      </c>
    </row>
    <row r="1378" spans="2:11" x14ac:dyDescent="0.25">
      <c r="B1378" s="5" t="str">
        <f t="shared" si="800"/>
        <v>SPS2</v>
      </c>
      <c r="C1378" s="5" t="str">
        <f t="shared" si="811"/>
        <v>CH</v>
      </c>
      <c r="D1378" t="s">
        <v>1376</v>
      </c>
      <c r="E1378" t="s">
        <v>1230</v>
      </c>
      <c r="F1378" s="1">
        <f t="shared" ref="F1378:K1378" si="816">IFERROR(F1354/F1319,"-")</f>
        <v>0.12198710645807098</v>
      </c>
      <c r="G1378" s="1">
        <f t="shared" si="816"/>
        <v>0.12427954912879723</v>
      </c>
      <c r="H1378" s="1">
        <f t="shared" si="816"/>
        <v>0.12800431071007942</v>
      </c>
      <c r="I1378" s="1">
        <f t="shared" si="816"/>
        <v>0.14406640732589132</v>
      </c>
      <c r="J1378" s="1">
        <f t="shared" si="816"/>
        <v>0.15690773008780223</v>
      </c>
      <c r="K1378" s="1">
        <f t="shared" si="816"/>
        <v>0.16981912119308662</v>
      </c>
    </row>
    <row r="1379" spans="2:11" x14ac:dyDescent="0.25">
      <c r="B1379" s="5" t="str">
        <f t="shared" si="800"/>
        <v>SPS2</v>
      </c>
      <c r="C1379" s="5" t="str">
        <f t="shared" si="811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17">IFERROR(G1355/G1321,"-")</f>
        <v>-</v>
      </c>
      <c r="H1379" s="1" t="str">
        <f t="shared" si="817"/>
        <v>-</v>
      </c>
      <c r="I1379" s="1">
        <f t="shared" si="817"/>
        <v>0.23440176174444111</v>
      </c>
      <c r="J1379" s="1">
        <f t="shared" si="817"/>
        <v>0.26689073559776239</v>
      </c>
      <c r="K1379" s="1">
        <f t="shared" si="817"/>
        <v>0.30137157865839931</v>
      </c>
    </row>
    <row r="1380" spans="2:11" x14ac:dyDescent="0.25">
      <c r="B1380" s="5" t="str">
        <f t="shared" si="800"/>
        <v>SPS2</v>
      </c>
      <c r="C1380" s="5" t="str">
        <f t="shared" si="811"/>
        <v>CH</v>
      </c>
      <c r="D1380" t="s">
        <v>1378</v>
      </c>
      <c r="E1380" t="s">
        <v>1230</v>
      </c>
      <c r="F1380" s="1" t="str">
        <f t="shared" ref="F1380:K1380" si="818">IFERROR(F1356/F1322,"-")</f>
        <v>-</v>
      </c>
      <c r="G1380" s="1" t="str">
        <f t="shared" si="818"/>
        <v>-</v>
      </c>
      <c r="H1380" s="1" t="str">
        <f t="shared" si="818"/>
        <v>-</v>
      </c>
      <c r="I1380" s="1">
        <f t="shared" si="818"/>
        <v>0.16910151451049596</v>
      </c>
      <c r="J1380" s="1">
        <f t="shared" si="818"/>
        <v>0.1916676233404799</v>
      </c>
      <c r="K1380" s="1">
        <f t="shared" si="818"/>
        <v>0.20971640440624673</v>
      </c>
    </row>
    <row r="1381" spans="2:11" x14ac:dyDescent="0.25">
      <c r="B1381" s="5" t="str">
        <f t="shared" si="800"/>
        <v>SPS2</v>
      </c>
      <c r="C1381" s="5" t="str">
        <f t="shared" si="811"/>
        <v>CH</v>
      </c>
      <c r="D1381" t="s">
        <v>1379</v>
      </c>
      <c r="E1381" t="s">
        <v>1230</v>
      </c>
      <c r="F1381" s="1" t="str">
        <f t="shared" ref="F1381:K1381" si="819">IFERROR(F1357/F1323,"-")</f>
        <v>-</v>
      </c>
      <c r="G1381" s="1" t="str">
        <f t="shared" si="819"/>
        <v>-</v>
      </c>
      <c r="H1381" s="1" t="str">
        <f t="shared" si="819"/>
        <v>-</v>
      </c>
      <c r="I1381" s="1">
        <f t="shared" si="819"/>
        <v>0.11310839137372306</v>
      </c>
      <c r="J1381" s="1">
        <f t="shared" si="819"/>
        <v>0.1298244291398678</v>
      </c>
      <c r="K1381" s="1">
        <f t="shared" si="819"/>
        <v>0.1313510393336221</v>
      </c>
    </row>
    <row r="1382" spans="2:11" x14ac:dyDescent="0.25">
      <c r="B1382" s="5" t="str">
        <f t="shared" si="800"/>
        <v>SPS2</v>
      </c>
      <c r="C1382" s="5" t="str">
        <f t="shared" si="811"/>
        <v>CH</v>
      </c>
      <c r="D1382" t="s">
        <v>1380</v>
      </c>
      <c r="E1382" t="s">
        <v>1230</v>
      </c>
      <c r="F1382" s="1" t="str">
        <f t="shared" ref="F1382:K1382" si="820">IFERROR(F1358/F1324,"-")</f>
        <v>-</v>
      </c>
      <c r="G1382" s="1" t="str">
        <f t="shared" si="820"/>
        <v>-</v>
      </c>
      <c r="H1382" s="1" t="str">
        <f t="shared" si="820"/>
        <v>-</v>
      </c>
      <c r="I1382" s="1">
        <f t="shared" si="820"/>
        <v>7.5896650184428732E-2</v>
      </c>
      <c r="J1382" s="1">
        <f t="shared" si="820"/>
        <v>8.4345034964627447E-2</v>
      </c>
      <c r="K1382" s="1">
        <f t="shared" si="820"/>
        <v>9.8026132715215347E-2</v>
      </c>
    </row>
    <row r="1383" spans="2:11" x14ac:dyDescent="0.25">
      <c r="B1383" s="5" t="str">
        <f t="shared" si="800"/>
        <v>SPS2</v>
      </c>
      <c r="C1383" s="5" t="str">
        <f t="shared" si="811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21">IFERROR(G1359/G1330,"-")</f>
        <v>0.16251369968883861</v>
      </c>
      <c r="H1383" s="1">
        <f t="shared" si="821"/>
        <v>0.16256834261928527</v>
      </c>
      <c r="I1383" s="1" t="str">
        <f t="shared" si="821"/>
        <v>-</v>
      </c>
      <c r="J1383" s="1">
        <f t="shared" si="821"/>
        <v>0.20464841739300274</v>
      </c>
      <c r="K1383" s="1" t="str">
        <f t="shared" si="821"/>
        <v>-</v>
      </c>
    </row>
    <row r="1384" spans="2:11" x14ac:dyDescent="0.25">
      <c r="B1384" s="5" t="str">
        <f t="shared" si="800"/>
        <v>SPS2</v>
      </c>
      <c r="C1384" s="5" t="str">
        <f t="shared" si="811"/>
        <v>CH</v>
      </c>
      <c r="D1384" t="s">
        <v>1382</v>
      </c>
      <c r="E1384" t="s">
        <v>1230</v>
      </c>
      <c r="F1384" s="1" t="str">
        <f t="shared" ref="F1384:K1384" si="822">IFERROR(F1360/F1331,"-")</f>
        <v>-</v>
      </c>
      <c r="G1384" s="1">
        <f t="shared" si="822"/>
        <v>0.11649393435744133</v>
      </c>
      <c r="H1384" s="1">
        <f t="shared" si="822"/>
        <v>0.1182608617462865</v>
      </c>
      <c r="I1384" s="1" t="str">
        <f t="shared" si="822"/>
        <v>-</v>
      </c>
      <c r="J1384" s="1">
        <f t="shared" si="822"/>
        <v>0.14667213054387707</v>
      </c>
      <c r="K1384" s="1" t="str">
        <f t="shared" si="822"/>
        <v>-</v>
      </c>
    </row>
    <row r="1385" spans="2:11" x14ac:dyDescent="0.25">
      <c r="B1385" s="5" t="str">
        <f t="shared" si="800"/>
        <v>SPS2</v>
      </c>
      <c r="C1385" s="5" t="str">
        <f t="shared" si="811"/>
        <v>CH</v>
      </c>
      <c r="D1385" t="s">
        <v>1383</v>
      </c>
      <c r="E1385" t="s">
        <v>1230</v>
      </c>
      <c r="F1385" s="1" t="str">
        <f t="shared" ref="F1385:K1385" si="823">IFERROR(F1361/F1332,"-")</f>
        <v>-</v>
      </c>
      <c r="G1385" s="1">
        <f t="shared" si="823"/>
        <v>7.8235828164578927E-2</v>
      </c>
      <c r="H1385" s="1">
        <f t="shared" si="823"/>
        <v>7.9273255242721649E-2</v>
      </c>
      <c r="I1385" s="1" t="str">
        <f t="shared" si="823"/>
        <v>-</v>
      </c>
      <c r="J1385" s="1">
        <f t="shared" si="823"/>
        <v>9.7229344515346719E-2</v>
      </c>
      <c r="K1385" s="1">
        <f t="shared" si="823"/>
        <v>9.8731992554448769E-2</v>
      </c>
    </row>
    <row r="1386" spans="2:11" x14ac:dyDescent="0.25">
      <c r="B1386" s="5" t="str">
        <f t="shared" si="800"/>
        <v>SPS2</v>
      </c>
      <c r="C1386" s="5" t="str">
        <f t="shared" si="811"/>
        <v>CH</v>
      </c>
      <c r="D1386" t="s">
        <v>1384</v>
      </c>
      <c r="E1386" t="s">
        <v>1230</v>
      </c>
      <c r="F1386" s="1" t="str">
        <f t="shared" ref="F1386:K1386" si="824">IFERROR(F1362/F1333,"-")</f>
        <v>-</v>
      </c>
      <c r="G1386" s="1">
        <f t="shared" si="824"/>
        <v>5.2751439830497744E-2</v>
      </c>
      <c r="H1386" s="1">
        <f t="shared" si="824"/>
        <v>5.392285580206968E-2</v>
      </c>
      <c r="I1386" s="1" t="str">
        <f t="shared" si="824"/>
        <v>-</v>
      </c>
      <c r="J1386" s="1">
        <f t="shared" si="824"/>
        <v>6.6676765357699952E-2</v>
      </c>
      <c r="K1386" s="1" t="str">
        <f t="shared" si="824"/>
        <v>-</v>
      </c>
    </row>
    <row r="1387" spans="2:11" x14ac:dyDescent="0.25">
      <c r="B1387" s="5" t="str">
        <f t="shared" si="800"/>
        <v>SPS2</v>
      </c>
      <c r="C1387" s="5" t="str">
        <f t="shared" si="811"/>
        <v>CH</v>
      </c>
      <c r="D1387" t="s">
        <v>2003</v>
      </c>
      <c r="E1387" t="s">
        <v>1230</v>
      </c>
      <c r="F1387" s="1">
        <f>IFERROR(F1363/F1334,"-")</f>
        <v>13.968680714886792</v>
      </c>
      <c r="G1387" s="1">
        <f t="shared" ref="G1387:K1387" si="825">IFERROR(G1363/G1334,"-")</f>
        <v>11.189596541502647</v>
      </c>
      <c r="H1387" s="1">
        <f t="shared" si="825"/>
        <v>7.0209702814264237</v>
      </c>
      <c r="I1387" s="1" t="str">
        <f t="shared" si="825"/>
        <v>-</v>
      </c>
      <c r="J1387" s="1" t="str">
        <f t="shared" si="825"/>
        <v>-</v>
      </c>
      <c r="K1387" s="1" t="str">
        <f t="shared" si="825"/>
        <v>-</v>
      </c>
    </row>
    <row r="1388" spans="2:11" x14ac:dyDescent="0.25">
      <c r="B1388" s="5" t="str">
        <f t="shared" si="800"/>
        <v>SPS2</v>
      </c>
      <c r="C1388" s="5" t="str">
        <f t="shared" si="811"/>
        <v>CH</v>
      </c>
      <c r="D1388" t="s">
        <v>1385</v>
      </c>
      <c r="E1388" t="s">
        <v>1230</v>
      </c>
      <c r="F1388" s="1">
        <f t="shared" ref="F1388:K1388" si="826">IFERROR(F1364/F1335,"-")</f>
        <v>0.12391916748597498</v>
      </c>
      <c r="G1388" s="1">
        <f t="shared" si="826"/>
        <v>0.1285085695893752</v>
      </c>
      <c r="H1388" s="1">
        <f t="shared" si="826"/>
        <v>0.13209925012627513</v>
      </c>
      <c r="I1388" s="1">
        <f t="shared" si="826"/>
        <v>0.12391916748597502</v>
      </c>
      <c r="J1388" s="1">
        <f t="shared" si="826"/>
        <v>0.16277535382583055</v>
      </c>
      <c r="K1388" s="1" t="str">
        <f t="shared" si="826"/>
        <v>-</v>
      </c>
    </row>
    <row r="1389" spans="2:11" x14ac:dyDescent="0.25">
      <c r="B1389" s="5" t="str">
        <f t="shared" si="800"/>
        <v>SPS2</v>
      </c>
      <c r="C1389" s="5" t="str">
        <f t="shared" si="811"/>
        <v>CH</v>
      </c>
      <c r="D1389" t="s">
        <v>1386</v>
      </c>
      <c r="E1389" t="s">
        <v>1230</v>
      </c>
      <c r="F1389" s="1">
        <f t="shared" ref="F1389:K1389" si="827">IFERROR(F1365/F1336,"-")</f>
        <v>8.7465847585616707E-2</v>
      </c>
      <c r="G1389" s="1">
        <f t="shared" si="827"/>
        <v>8.7809526677326222E-2</v>
      </c>
      <c r="H1389" s="1">
        <f t="shared" si="827"/>
        <v>9.0855413600579929E-2</v>
      </c>
      <c r="I1389" s="1" t="str">
        <f t="shared" si="827"/>
        <v>-</v>
      </c>
      <c r="J1389" s="1" t="str">
        <f t="shared" si="827"/>
        <v>-</v>
      </c>
      <c r="K1389" s="1" t="str">
        <f t="shared" si="827"/>
        <v>-</v>
      </c>
    </row>
    <row r="1390" spans="2:11" x14ac:dyDescent="0.25">
      <c r="B1390" s="5" t="str">
        <f t="shared" si="800"/>
        <v>SPS2</v>
      </c>
      <c r="C1390" s="5" t="str">
        <f t="shared" si="811"/>
        <v>CH</v>
      </c>
      <c r="D1390" t="s">
        <v>1387</v>
      </c>
      <c r="E1390" t="s">
        <v>1230</v>
      </c>
      <c r="F1390" s="1">
        <f t="shared" ref="F1390:K1390" si="828">IFERROR(F1366/F1337,"-")</f>
        <v>5.7949527986548566E-2</v>
      </c>
      <c r="G1390" s="1">
        <f t="shared" si="828"/>
        <v>5.8225727790889456E-2</v>
      </c>
      <c r="H1390" s="1">
        <f t="shared" si="828"/>
        <v>6.0239437631205109E-2</v>
      </c>
      <c r="I1390" s="1" t="str">
        <f t="shared" si="828"/>
        <v>-</v>
      </c>
      <c r="J1390" s="1">
        <f t="shared" si="828"/>
        <v>7.5170537347230407E-2</v>
      </c>
      <c r="K1390" s="1" t="str">
        <f t="shared" si="828"/>
        <v>-</v>
      </c>
    </row>
    <row r="1391" spans="2:11" x14ac:dyDescent="0.25">
      <c r="B1391" s="5" t="str">
        <f t="shared" si="800"/>
        <v>SPS2</v>
      </c>
      <c r="C1391" s="5" t="str">
        <f t="shared" si="811"/>
        <v>CH</v>
      </c>
      <c r="D1391" t="s">
        <v>1388</v>
      </c>
      <c r="E1391" t="s">
        <v>1230</v>
      </c>
      <c r="F1391" s="1">
        <f t="shared" ref="F1391:K1391" si="829">IFERROR(F1367/F1338,"-")</f>
        <v>3.8646481387947462E-2</v>
      </c>
      <c r="G1391" s="1">
        <f t="shared" si="829"/>
        <v>3.8896362352770227E-2</v>
      </c>
      <c r="H1391" s="1">
        <f t="shared" si="829"/>
        <v>3.920065367276386E-2</v>
      </c>
      <c r="I1391" s="1" t="str">
        <f t="shared" si="829"/>
        <v>-</v>
      </c>
      <c r="J1391" s="1">
        <f t="shared" si="829"/>
        <v>4.9865545637797208E-2</v>
      </c>
      <c r="K1391" s="1" t="str">
        <f t="shared" si="829"/>
        <v>-</v>
      </c>
    </row>
    <row r="1392" spans="2:11" x14ac:dyDescent="0.25">
      <c r="B1392" s="5" t="str">
        <f t="shared" si="800"/>
        <v>SPS2</v>
      </c>
      <c r="C1392" s="5" t="str">
        <f t="shared" si="811"/>
        <v>CH</v>
      </c>
      <c r="D1392" t="s">
        <v>2007</v>
      </c>
      <c r="E1392" t="s">
        <v>1230</v>
      </c>
      <c r="F1392" s="1">
        <f>IFERROR(F1368/F1344,"-")</f>
        <v>13.968680714886798</v>
      </c>
      <c r="G1392" s="1">
        <f t="shared" ref="G1392:K1392" si="830">IFERROR(G1368/G1344,"-")</f>
        <v>11.186996076539055</v>
      </c>
      <c r="H1392" s="1">
        <f t="shared" si="830"/>
        <v>7.0144691190174715</v>
      </c>
      <c r="I1392" s="1" t="str">
        <f t="shared" si="830"/>
        <v>-</v>
      </c>
      <c r="J1392" s="1" t="str">
        <f t="shared" si="830"/>
        <v>-</v>
      </c>
      <c r="K1392" s="1" t="str">
        <f t="shared" si="830"/>
        <v>-</v>
      </c>
    </row>
    <row r="1393" spans="2:11" x14ac:dyDescent="0.25">
      <c r="B1393" s="5" t="str">
        <f t="shared" si="800"/>
        <v>SPS2</v>
      </c>
      <c r="C1393" s="5" t="str">
        <f t="shared" si="811"/>
        <v>CH</v>
      </c>
      <c r="D1393" t="s">
        <v>1389</v>
      </c>
      <c r="E1393" t="s">
        <v>1230</v>
      </c>
      <c r="F1393" s="1" t="str">
        <f t="shared" ref="F1393:K1393" si="831">IFERROR(F1369/F1345,"-")</f>
        <v>-</v>
      </c>
      <c r="G1393" s="1">
        <f t="shared" si="831"/>
        <v>0.12023751974847215</v>
      </c>
      <c r="H1393" s="1">
        <f t="shared" si="831"/>
        <v>0.12195322100303035</v>
      </c>
      <c r="I1393" s="1">
        <f t="shared" si="831"/>
        <v>0.12574159792232148</v>
      </c>
      <c r="J1393" s="1">
        <f t="shared" si="831"/>
        <v>0.15290988452940507</v>
      </c>
      <c r="K1393" s="1">
        <f t="shared" si="831"/>
        <v>0.15290988452940518</v>
      </c>
    </row>
    <row r="1394" spans="2:11" x14ac:dyDescent="0.25">
      <c r="B1394" s="5" t="str">
        <f t="shared" si="800"/>
        <v>SPS2</v>
      </c>
      <c r="C1394" s="5" t="str">
        <f t="shared" si="811"/>
        <v>CH</v>
      </c>
      <c r="D1394" t="s">
        <v>1390</v>
      </c>
      <c r="E1394" t="s">
        <v>1230</v>
      </c>
      <c r="F1394" s="1" t="str">
        <f t="shared" ref="F1394:K1394" si="832">IFERROR(F1370/F1346,"-")</f>
        <v>-</v>
      </c>
      <c r="G1394" s="1">
        <f t="shared" si="832"/>
        <v>8.4998076233608902E-2</v>
      </c>
      <c r="H1394" s="1">
        <f t="shared" si="832"/>
        <v>8.6682303737980401E-2</v>
      </c>
      <c r="I1394" s="1" t="str">
        <f t="shared" si="832"/>
        <v>-</v>
      </c>
      <c r="J1394" s="1">
        <f t="shared" si="832"/>
        <v>0.1069058000472014</v>
      </c>
      <c r="K1394" s="1" t="str">
        <f t="shared" si="832"/>
        <v>-</v>
      </c>
    </row>
    <row r="1395" spans="2:11" x14ac:dyDescent="0.25">
      <c r="B1395" s="5" t="str">
        <f t="shared" si="800"/>
        <v>SPS2</v>
      </c>
      <c r="C1395" s="5" t="str">
        <f t="shared" si="811"/>
        <v>CH</v>
      </c>
      <c r="D1395" t="s">
        <v>1391</v>
      </c>
      <c r="E1395" t="s">
        <v>1230</v>
      </c>
      <c r="F1395" s="1" t="str">
        <f t="shared" ref="F1395:K1395" si="833">IFERROR(F1371/F1347,"-")</f>
        <v>-</v>
      </c>
      <c r="G1395" s="1">
        <f t="shared" si="833"/>
        <v>5.6422133461237187E-2</v>
      </c>
      <c r="H1395" s="1">
        <f t="shared" si="833"/>
        <v>5.8622278684407808E-2</v>
      </c>
      <c r="I1395" s="1" t="str">
        <f t="shared" si="833"/>
        <v>-</v>
      </c>
      <c r="J1395" s="1">
        <f t="shared" si="833"/>
        <v>7.0958063870597027E-2</v>
      </c>
      <c r="K1395" s="1" t="str">
        <f t="shared" si="833"/>
        <v>-</v>
      </c>
    </row>
    <row r="1396" spans="2:11" x14ac:dyDescent="0.25">
      <c r="B1396" s="5" t="str">
        <f t="shared" ref="B1396:B1459" si="834">B1395</f>
        <v>SPS2</v>
      </c>
      <c r="C1396" s="5" t="str">
        <f t="shared" si="811"/>
        <v>CH</v>
      </c>
      <c r="D1396" t="s">
        <v>1392</v>
      </c>
      <c r="E1396" t="s">
        <v>1230</v>
      </c>
      <c r="F1396" s="1" t="str">
        <f t="shared" ref="F1396:K1396" si="835">IFERROR(F1372/F1348,"-")</f>
        <v>-</v>
      </c>
      <c r="G1396" s="1">
        <f t="shared" si="835"/>
        <v>3.7689157759834384E-2</v>
      </c>
      <c r="H1396" s="1">
        <f t="shared" si="835"/>
        <v>3.8755050220275505E-2</v>
      </c>
      <c r="I1396" s="1" t="str">
        <f t="shared" si="835"/>
        <v>-</v>
      </c>
      <c r="J1396" s="1" t="str">
        <f t="shared" si="835"/>
        <v>-</v>
      </c>
      <c r="K1396" s="1" t="str">
        <f t="shared" si="835"/>
        <v>-</v>
      </c>
    </row>
    <row r="1397" spans="2:11" x14ac:dyDescent="0.25">
      <c r="B1397" s="9" t="str">
        <f t="shared" si="834"/>
        <v>SPS2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0.81574590168977901</v>
      </c>
      <c r="G1397" s="3">
        <f t="shared" ref="G1397" si="836">G1398+G1404+G1409+G1423</f>
        <v>0.84760508070407525</v>
      </c>
      <c r="H1397" s="3">
        <f t="shared" ref="H1397" si="837">H1398+H1404+H1409+H1423</f>
        <v>1.0402809348270661</v>
      </c>
      <c r="I1397" s="3">
        <f t="shared" ref="I1397" si="838">I1398+I1404+I1409+I1423</f>
        <v>0.39106663829133503</v>
      </c>
      <c r="J1397" s="3">
        <f t="shared" ref="J1397" si="839">J1398+J1404+J1409+J1423</f>
        <v>0.36407833157269104</v>
      </c>
      <c r="K1397" s="3">
        <f t="shared" ref="K1397" si="840">K1398+K1404+K1409+K1423</f>
        <v>0.32276857765799782</v>
      </c>
    </row>
    <row r="1398" spans="2:11" x14ac:dyDescent="0.25">
      <c r="B1398" s="5" t="str">
        <f t="shared" si="834"/>
        <v>SPS2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7.7885296656749284E-4</v>
      </c>
      <c r="G1398" s="1">
        <f t="shared" ref="G1398" si="841">SUM(G1399:G1403)</f>
        <v>1.5586295718006417E-3</v>
      </c>
      <c r="H1398" s="1">
        <f t="shared" ref="H1398" si="842">SUM(H1399:H1403)</f>
        <v>2.4838583030883229E-3</v>
      </c>
      <c r="I1398" s="1">
        <f t="shared" ref="I1398" si="843">SUM(I1399:I1403)</f>
        <v>0.36489106153986561</v>
      </c>
      <c r="J1398" s="1">
        <f t="shared" ref="J1398" si="844">SUM(J1399:J1403)</f>
        <v>0.34214019904834886</v>
      </c>
      <c r="K1398" s="1">
        <f t="shared" ref="K1398" si="845">SUM(K1399:K1403)</f>
        <v>0.30305993062380121</v>
      </c>
    </row>
    <row r="1399" spans="2:11" x14ac:dyDescent="0.25">
      <c r="B1399" s="5" t="str">
        <f t="shared" si="834"/>
        <v>SPS2</v>
      </c>
      <c r="C1399" s="5" t="str">
        <f t="shared" ref="C1399:C1432" si="846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34"/>
        <v>SPS2</v>
      </c>
      <c r="C1400" s="5" t="str">
        <f t="shared" si="846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1.6902935011772234E-4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7.7732691683255286E-4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1.2990109109817934E-3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0.14468368244285792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0.1373169568031192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0.11857886208847629</v>
      </c>
    </row>
    <row r="1401" spans="2:11" x14ac:dyDescent="0.25">
      <c r="B1401" s="5" t="str">
        <f t="shared" si="834"/>
        <v>SPS2</v>
      </c>
      <c r="C1401" s="5" t="str">
        <f t="shared" si="846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4.4074481734174655E-4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4.5895801721227157E-4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7.02755948545203E-4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0.17700609554007063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0.16366929444138761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0.14782974482080413</v>
      </c>
    </row>
    <row r="1402" spans="2:11" x14ac:dyDescent="0.25">
      <c r="B1402" s="5" t="str">
        <f t="shared" si="834"/>
        <v>SPS2</v>
      </c>
      <c r="C1402" s="5" t="str">
        <f t="shared" si="846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1.6907879910802389E-4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2.7840542385909524E-4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3.9536045337836912E-4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4.3162683291238679E-2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4.1016347256616167E-2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3.6600960227566641E-2</v>
      </c>
    </row>
    <row r="1403" spans="2:11" x14ac:dyDescent="0.25">
      <c r="B1403" s="5" t="str">
        <f t="shared" si="834"/>
        <v>SPS2</v>
      </c>
      <c r="C1403" s="5" t="str">
        <f t="shared" si="846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4.3939213896722112E-5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8.6730990182957375E-5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3.8600265698395932E-5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1.3760054722583332E-4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5.0363486954149955E-5</v>
      </c>
    </row>
    <row r="1404" spans="2:11" x14ac:dyDescent="0.25">
      <c r="B1404" s="5" t="str">
        <f t="shared" si="834"/>
        <v>SPS2</v>
      </c>
      <c r="C1404" s="5" t="str">
        <f t="shared" si="846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47">SUM(G1405:G1408)</f>
        <v>0</v>
      </c>
      <c r="H1404" s="1">
        <f t="shared" ref="H1404" si="848">SUM(H1405:H1408)</f>
        <v>0</v>
      </c>
      <c r="I1404" s="1">
        <f t="shared" ref="I1404" si="849">SUM(I1405:I1408)</f>
        <v>2.6167079988486504E-2</v>
      </c>
      <c r="J1404" s="1">
        <f t="shared" ref="J1404" si="850">SUM(J1405:J1408)</f>
        <v>2.1886360243878304E-2</v>
      </c>
      <c r="K1404" s="1">
        <f t="shared" ref="K1404" si="851">SUM(K1405:K1408)</f>
        <v>1.9692062727605528E-2</v>
      </c>
    </row>
    <row r="1405" spans="2:11" x14ac:dyDescent="0.25">
      <c r="B1405" s="5" t="str">
        <f t="shared" si="834"/>
        <v>SPS2</v>
      </c>
      <c r="C1405" s="5" t="str">
        <f t="shared" si="846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4.7460209342730825E-6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4.3132334593576577E-4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4.3053903106101001E-4</v>
      </c>
    </row>
    <row r="1406" spans="2:11" x14ac:dyDescent="0.25">
      <c r="B1406" s="5" t="str">
        <f t="shared" si="834"/>
        <v>SPS2</v>
      </c>
      <c r="C1406" s="5" t="str">
        <f t="shared" si="846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2.0638285483404638E-5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8.5244144499928081E-4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7.5539091448865081E-4</v>
      </c>
    </row>
    <row r="1407" spans="2:11" x14ac:dyDescent="0.25">
      <c r="B1407" s="5" t="str">
        <f t="shared" si="834"/>
        <v>SPS2</v>
      </c>
      <c r="C1407" s="5" t="str">
        <f t="shared" si="846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2.6136257371585071E-2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2.0552273222170476E-2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1.8495284252634685E-2</v>
      </c>
    </row>
    <row r="1408" spans="2:11" x14ac:dyDescent="0.25">
      <c r="B1408" s="5" t="str">
        <f t="shared" si="834"/>
        <v>SPS2</v>
      </c>
      <c r="C1408" s="5" t="str">
        <f t="shared" si="846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5.4383104837525093E-6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5.0322230772781551E-5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1.0848529421181116E-5</v>
      </c>
    </row>
    <row r="1409" spans="2:11" x14ac:dyDescent="0.25">
      <c r="B1409" s="5" t="str">
        <f t="shared" si="834"/>
        <v>SPS2</v>
      </c>
      <c r="C1409" s="5" t="str">
        <f t="shared" si="846"/>
        <v>CH</v>
      </c>
      <c r="D1409" t="s">
        <v>1407</v>
      </c>
      <c r="E1409" t="s">
        <v>8</v>
      </c>
      <c r="F1409" s="1">
        <f>SUM(F1414:F1422)</f>
        <v>0.8148288750011542</v>
      </c>
      <c r="G1409" s="1">
        <f t="shared" ref="G1409:K1409" si="852">SUM(G1414:G1422)</f>
        <v>0.84396320391494928</v>
      </c>
      <c r="H1409" s="1">
        <f t="shared" si="852"/>
        <v>1.0345313268396774</v>
      </c>
      <c r="I1409" s="1">
        <f t="shared" si="852"/>
        <v>8.4967629829226165E-6</v>
      </c>
      <c r="J1409" s="1">
        <f t="shared" si="852"/>
        <v>4.1503134647175366E-5</v>
      </c>
      <c r="K1409" s="1">
        <f t="shared" si="852"/>
        <v>1.4978675516318971E-5</v>
      </c>
    </row>
    <row r="1410" spans="2:11" x14ac:dyDescent="0.25">
      <c r="B1410" s="5" t="str">
        <f t="shared" si="834"/>
        <v>SPS2</v>
      </c>
      <c r="C1410" s="5" t="str">
        <f t="shared" si="846"/>
        <v>CH</v>
      </c>
      <c r="D1410" t="s">
        <v>1408</v>
      </c>
      <c r="E1410" t="s">
        <v>8</v>
      </c>
      <c r="F1410" s="1">
        <f>F1409-F1411</f>
        <v>0.79572725136851363</v>
      </c>
      <c r="G1410" s="1">
        <f t="shared" ref="G1410" si="853">G1409-G1411</f>
        <v>0.82196903874291249</v>
      </c>
      <c r="H1410" s="1">
        <f t="shared" ref="H1410" si="854">H1409-H1411</f>
        <v>0.99878143003174014</v>
      </c>
      <c r="I1410" s="1">
        <f t="shared" ref="I1410" si="855">I1409-I1411</f>
        <v>8.0733050934361466E-6</v>
      </c>
      <c r="J1410" s="1">
        <f t="shared" ref="J1410" si="856">J1409-J1411</f>
        <v>3.3247363541922032E-5</v>
      </c>
      <c r="K1410" s="1">
        <f t="shared" ref="K1410" si="857">K1409-K1411</f>
        <v>-6.8531040471254621E-7</v>
      </c>
    </row>
    <row r="1411" spans="2:11" x14ac:dyDescent="0.25">
      <c r="B1411" s="5" t="str">
        <f t="shared" si="834"/>
        <v>SPS2</v>
      </c>
      <c r="C1411" s="5" t="str">
        <f t="shared" si="846"/>
        <v>CH</v>
      </c>
      <c r="D1411" t="s">
        <v>1409</v>
      </c>
      <c r="E1411" t="s">
        <v>8</v>
      </c>
      <c r="F1411" s="1">
        <f>SUM(F1412:F1413)</f>
        <v>1.9101623632640598E-2</v>
      </c>
      <c r="G1411" s="1">
        <f t="shared" ref="G1411" si="858">SUM(G1412:G1413)</f>
        <v>2.1994165172036746E-2</v>
      </c>
      <c r="H1411" s="1">
        <f t="shared" ref="H1411" si="859">SUM(H1412:H1413)</f>
        <v>3.5749896807937269E-2</v>
      </c>
      <c r="I1411" s="1">
        <f t="shared" ref="I1411" si="860">SUM(I1412:I1413)</f>
        <v>4.2345788948647079E-7</v>
      </c>
      <c r="J1411" s="1">
        <f t="shared" ref="J1411" si="861">SUM(J1412:J1413)</f>
        <v>8.2557711052533309E-6</v>
      </c>
      <c r="K1411" s="1">
        <f t="shared" ref="K1411" si="862">SUM(K1412:K1413)</f>
        <v>1.5663985921031518E-5</v>
      </c>
    </row>
    <row r="1412" spans="2:11" x14ac:dyDescent="0.25">
      <c r="B1412" s="5" t="str">
        <f t="shared" si="834"/>
        <v>SPS2</v>
      </c>
      <c r="C1412" s="5" t="str">
        <f t="shared" si="846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1.9101623632640598E-2</v>
      </c>
      <c r="G1412" s="1">
        <f>[1]Transport!C$26/SUM([1]Transport!C$22,[1]Transport!C$26)*G1409*(G$33+G$580)/(G$33+G$580+G$36)</f>
        <v>2.1994165172036746E-2</v>
      </c>
      <c r="H1412" s="1">
        <f>[1]Transport!D$26/SUM([1]Transport!D$22,[1]Transport!D$26)*H1409*(H$33+H$580)/(H$33+H$580+H$36)</f>
        <v>3.5749896807937269E-2</v>
      </c>
      <c r="I1412" s="1">
        <f>[1]Transport!E$26/SUM([1]Transport!E$22,[1]Transport!E$26)*I1409*(I$33+I$580)/(I$33+I$580+I$36)</f>
        <v>4.2345788948647079E-7</v>
      </c>
      <c r="J1412" s="1">
        <f>[1]Transport!F$26/SUM([1]Transport!F$22,[1]Transport!F$26)*J1409*(J$33+J$580)/(J$33+J$580+J$36)</f>
        <v>3.4119329922519912E-6</v>
      </c>
      <c r="K1412" s="1">
        <f>[1]Transport!G$26/SUM([1]Transport!G$22,[1]Transport!G$26)*K1409*(K$33+K$580)/(K$33+K$580+K$36)</f>
        <v>3.7518626267331864E-6</v>
      </c>
    </row>
    <row r="1413" spans="2:11" x14ac:dyDescent="0.25">
      <c r="B1413" s="5" t="str">
        <f t="shared" si="834"/>
        <v>SPS2</v>
      </c>
      <c r="C1413" s="5" t="str">
        <f t="shared" si="846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4.8438381130013398E-6</v>
      </c>
      <c r="K1413" s="1">
        <f>(K$36+K$716)/([1]Transport!G$22+[1]Transport!G$26)*K1409</f>
        <v>1.191212329429833E-5</v>
      </c>
    </row>
    <row r="1414" spans="2:11" x14ac:dyDescent="0.25">
      <c r="B1414" s="5" t="str">
        <f t="shared" si="834"/>
        <v>SPS2</v>
      </c>
      <c r="C1414" s="5" t="str">
        <f t="shared" si="846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2.2469394685479794E-3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2.577161220472204E-3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0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6.1968983631878025E-6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2.3654566554992205E-6</v>
      </c>
    </row>
    <row r="1415" spans="2:11" x14ac:dyDescent="0.25">
      <c r="B1415" s="5" t="str">
        <f t="shared" si="834"/>
        <v>SPS2</v>
      </c>
      <c r="C1415" s="5" t="str">
        <f t="shared" si="846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2.3310723821012638E-4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4.1417236255543986E-4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0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9.8007170345039319E-6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3.624292310256366E-6</v>
      </c>
    </row>
    <row r="1416" spans="2:11" x14ac:dyDescent="0.25">
      <c r="B1416" s="5" t="str">
        <f t="shared" si="834"/>
        <v>SPS2</v>
      </c>
      <c r="C1416" s="5" t="str">
        <f t="shared" si="846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1.4816122598463764E-4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2.5609782439141028E-4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8.4967629829226165E-6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8.8850578669927808E-7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0</v>
      </c>
    </row>
    <row r="1417" spans="2:11" x14ac:dyDescent="0.25">
      <c r="B1417" s="5" t="str">
        <f t="shared" si="834"/>
        <v>SPS2</v>
      </c>
      <c r="C1417" s="5" t="str">
        <f t="shared" si="846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3.3489174464750715E-5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6.248310085919745E-5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0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0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25">
      <c r="B1418" s="5" t="str">
        <f t="shared" si="834"/>
        <v>SPS2</v>
      </c>
      <c r="C1418" s="5" t="str">
        <f t="shared" si="846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6.0283384662889287E-3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6.0132834321759993E-3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5.969218742700508E-3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34"/>
        <v>SPS2</v>
      </c>
      <c r="C1419" s="5" t="str">
        <f t="shared" si="846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0.11335098279463594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0.30697711785747567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0.37355027296408816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1.0078858526973955E-5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3.60294426388611E-6</v>
      </c>
    </row>
    <row r="1420" spans="2:11" x14ac:dyDescent="0.25">
      <c r="B1420" s="5" t="str">
        <f t="shared" si="834"/>
        <v>SPS2</v>
      </c>
      <c r="C1420" s="5" t="str">
        <f t="shared" si="846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0.51936191281930588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0.39956079658116106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0.49302338450342614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1.4538154935810398E-5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5.3859822866772758E-6</v>
      </c>
    </row>
    <row r="1421" spans="2:11" x14ac:dyDescent="0.25">
      <c r="B1421" s="5" t="str">
        <f t="shared" si="834"/>
        <v>SPS2</v>
      </c>
      <c r="C1421" s="5" t="str">
        <f t="shared" si="846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0.16183665141643755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0.12835519250863159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0.15818558916764974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0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0</v>
      </c>
    </row>
    <row r="1422" spans="2:11" x14ac:dyDescent="0.25">
      <c r="B1422" s="5" t="str">
        <f t="shared" si="834"/>
        <v>SPS2</v>
      </c>
      <c r="C1422" s="5" t="str">
        <f t="shared" si="846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1.4250989504485896E-2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3.9511642829743321E-4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4.9294695353470082E-4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0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0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34"/>
        <v>SPS2</v>
      </c>
      <c r="C1423" s="5" t="str">
        <f t="shared" si="846"/>
        <v>CH</v>
      </c>
      <c r="D1423" t="s">
        <v>1420</v>
      </c>
      <c r="E1423" t="s">
        <v>8</v>
      </c>
      <c r="F1423" s="1">
        <f>SUM(F1428:F1432)</f>
        <v>1.3817372205727132E-4</v>
      </c>
      <c r="G1423" s="1">
        <f t="shared" ref="G1423" si="863">SUM(G1428:G1432)</f>
        <v>2.0832472173253013E-3</v>
      </c>
      <c r="H1423" s="1">
        <f t="shared" ref="H1423" si="864">SUM(H1428:H1432)</f>
        <v>3.2657496843002481E-3</v>
      </c>
      <c r="I1423" s="1">
        <f t="shared" ref="I1423" si="865">SUM(I1428:I1432)</f>
        <v>0</v>
      </c>
      <c r="J1423" s="1">
        <f t="shared" ref="J1423" si="866">SUM(J1428:J1432)</f>
        <v>1.0269145816680353E-5</v>
      </c>
      <c r="K1423" s="1">
        <f t="shared" ref="K1423" si="867">SUM(K1428:K1432)</f>
        <v>1.6056310747584737E-6</v>
      </c>
    </row>
    <row r="1424" spans="2:11" x14ac:dyDescent="0.25">
      <c r="B1424" s="5" t="str">
        <f t="shared" si="834"/>
        <v>SPS2</v>
      </c>
      <c r="C1424" s="5" t="str">
        <f t="shared" si="846"/>
        <v>CH</v>
      </c>
      <c r="D1424" t="s">
        <v>1421</v>
      </c>
      <c r="E1424" t="s">
        <v>8</v>
      </c>
      <c r="F1424" s="1">
        <f>F1423-F1425</f>
        <v>1.2777403656713391E-4</v>
      </c>
      <c r="G1424" s="1">
        <f t="shared" ref="G1424" si="868">G1423-G1425</f>
        <v>1.884958357362108E-3</v>
      </c>
      <c r="H1424" s="1">
        <f t="shared" ref="H1424" si="869">H1423-H1425</f>
        <v>2.9528897700419987E-3</v>
      </c>
      <c r="I1424" s="1">
        <f t="shared" ref="I1424" si="870">I1423-I1425</f>
        <v>0</v>
      </c>
      <c r="J1424" s="1">
        <f t="shared" ref="J1424" si="871">J1423-J1425</f>
        <v>-2.9108919458971537E-3</v>
      </c>
      <c r="K1424" s="1">
        <f t="shared" ref="K1424" si="872">K1423-K1425</f>
        <v>-4.4131424116519054E-2</v>
      </c>
    </row>
    <row r="1425" spans="2:11" x14ac:dyDescent="0.25">
      <c r="B1425" s="5" t="str">
        <f t="shared" si="834"/>
        <v>SPS2</v>
      </c>
      <c r="C1425" s="5" t="str">
        <f t="shared" si="846"/>
        <v>CH</v>
      </c>
      <c r="D1425" t="s">
        <v>1422</v>
      </c>
      <c r="E1425" t="s">
        <v>8</v>
      </c>
      <c r="F1425" s="1">
        <f>SUM(F1426:F1427)</f>
        <v>1.0399685490137419E-5</v>
      </c>
      <c r="G1425" s="1">
        <f t="shared" ref="G1425" si="873">SUM(G1426:G1427)</f>
        <v>1.9828885996319329E-4</v>
      </c>
      <c r="H1425" s="1">
        <f t="shared" ref="H1425" si="874">SUM(H1426:H1427)</f>
        <v>3.1285991425824937E-4</v>
      </c>
      <c r="I1425" s="1">
        <f t="shared" ref="I1425" si="875">SUM(I1426:I1427)</f>
        <v>0</v>
      </c>
      <c r="J1425" s="1">
        <f t="shared" ref="J1425" si="876">SUM(J1426:J1427)</f>
        <v>2.9211610917138338E-3</v>
      </c>
      <c r="K1425" s="1">
        <f t="shared" ref="K1425" si="877">SUM(K1426:K1427)</f>
        <v>4.413302974759381E-2</v>
      </c>
    </row>
    <row r="1426" spans="2:11" x14ac:dyDescent="0.25">
      <c r="B1426" s="5" t="str">
        <f t="shared" si="834"/>
        <v>SPS2</v>
      </c>
      <c r="C1426" s="5" t="str">
        <f t="shared" si="846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1.0399685490137419E-5</v>
      </c>
      <c r="G1426" s="1">
        <f>[1]Transport!C$27/SUM([1]Transport!C$24,[1]Transport!C$27)*G1423*(G$45+G$612)/(G$45+G$612+G$47)</f>
        <v>1.9828885996319329E-4</v>
      </c>
      <c r="H1426" s="1">
        <f>[1]Transport!D$27/SUM([1]Transport!D$24,[1]Transport!D$27)*H1423*(H$45+H$612)/(H$45+H$612+H$47)</f>
        <v>3.1285991425824937E-4</v>
      </c>
      <c r="I1426" s="1">
        <f>[1]Transport!E$27/SUM([1]Transport!E$24,[1]Transport!E$27)*I1423*(I$45+I$612)/(I$45+I$612+I$47)</f>
        <v>0</v>
      </c>
      <c r="J1426" s="1">
        <f>[1]Transport!F$27/SUM([1]Transport!F$24,[1]Transport!F$27)*J1423*(J$45+J$612)/(J$45+J$612+J$47)</f>
        <v>2.508246380841922E-6</v>
      </c>
      <c r="K1426" s="1">
        <f>[1]Transport!G$27/SUM([1]Transport!G$24,[1]Transport!G$27)*K1423*(K$45+K$612)/(K$45+K$612+K$47)</f>
        <v>8.0101592482779015E-7</v>
      </c>
    </row>
    <row r="1427" spans="2:11" x14ac:dyDescent="0.25">
      <c r="B1427" s="5" t="str">
        <f t="shared" si="834"/>
        <v>SPS2</v>
      </c>
      <c r="C1427" s="5" t="str">
        <f t="shared" si="846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2.9186528453329919E-3</v>
      </c>
      <c r="K1427" s="1">
        <f>(K$47+K$714)/([1]Transport!G$24+[1]Transport!G$27)*K1423</f>
        <v>4.4132228731668985E-2</v>
      </c>
    </row>
    <row r="1428" spans="2:11" x14ac:dyDescent="0.25">
      <c r="B1428" s="5" t="str">
        <f t="shared" si="834"/>
        <v>SPS2</v>
      </c>
      <c r="C1428" s="5" t="str">
        <f t="shared" si="846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1.3817372205727132E-4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1.3816255980576944E-4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1.3686046431425069E-4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34"/>
        <v>SPS2</v>
      </c>
      <c r="C1429" s="5" t="str">
        <f t="shared" si="846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1.4870862228542035E-3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2.0240227348252843E-3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0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3.8988013149810668E-6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2.8221803456996054E-7</v>
      </c>
    </row>
    <row r="1430" spans="2:11" x14ac:dyDescent="0.25">
      <c r="B1430" s="5" t="str">
        <f t="shared" si="834"/>
        <v>SPS2</v>
      </c>
      <c r="C1430" s="5" t="str">
        <f t="shared" si="846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2.3942962635466999E-4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6.0142715419542181E-4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0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6.370344501699286E-6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1.3234130401885133E-6</v>
      </c>
    </row>
    <row r="1431" spans="2:11" x14ac:dyDescent="0.25">
      <c r="B1431" s="5" t="str">
        <f t="shared" si="834"/>
        <v>SPS2</v>
      </c>
      <c r="C1431" s="5" t="str">
        <f t="shared" si="846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1.8657626816695054E-4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4.2178612729613967E-4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0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0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0</v>
      </c>
    </row>
    <row r="1432" spans="2:11" x14ac:dyDescent="0.25">
      <c r="B1432" s="5" t="str">
        <f t="shared" si="834"/>
        <v>SPS2</v>
      </c>
      <c r="C1432" s="5" t="str">
        <f t="shared" si="846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3.1992540143707832E-5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8.1653203669151449E-5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0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0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25">
      <c r="B1433" s="5" t="str">
        <f t="shared" si="834"/>
        <v>SPS2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0.13097646404552457</v>
      </c>
      <c r="G1433" s="3">
        <f t="shared" ref="G1433" si="878">SUM(G1434:G1456)</f>
        <v>0.131642639729038</v>
      </c>
      <c r="H1433" s="3">
        <f t="shared" ref="H1433" si="879">SUM(H1434:H1456)</f>
        <v>0.13268290155509269</v>
      </c>
      <c r="I1433" s="3">
        <f t="shared" ref="I1433" si="880">SUM(I1434:I1456)</f>
        <v>0.13440620086840321</v>
      </c>
      <c r="J1433" s="3">
        <f t="shared" ref="J1433" si="881">SUM(J1434:J1456)</f>
        <v>0.13472718909529252</v>
      </c>
      <c r="K1433" s="3">
        <f t="shared" ref="K1433" si="882">SUM(K1434:K1456)</f>
        <v>0.13114253897271896</v>
      </c>
    </row>
    <row r="1434" spans="2:11" x14ac:dyDescent="0.25">
      <c r="B1434" s="5" t="str">
        <f t="shared" si="834"/>
        <v>SPS2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si="834"/>
        <v>SPS2</v>
      </c>
      <c r="C1435" s="5" t="str">
        <f t="shared" ref="C1435:C1456" si="883">C1434</f>
        <v>CH</v>
      </c>
      <c r="D1435" t="s">
        <v>1430</v>
      </c>
      <c r="E1435" t="str">
        <f t="shared" ref="E1435:E1456" si="884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6.4010268366663478E-5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2.9946526915153142E-4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5.1471524090139888E-4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6.4718747595656878E-2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6.4734640318363457E-2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6.3018450776963622E-2</v>
      </c>
    </row>
    <row r="1436" spans="2:11" x14ac:dyDescent="0.25">
      <c r="B1436" s="5" t="str">
        <f t="shared" si="834"/>
        <v>SPS2</v>
      </c>
      <c r="C1436" s="5" t="str">
        <f t="shared" si="883"/>
        <v>CH</v>
      </c>
      <c r="D1436" t="s">
        <v>1431</v>
      </c>
      <c r="E1436" t="str">
        <f t="shared" si="884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1.2128446954573107E-4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1.2814939696348504E-4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2.0070247695502436E-4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5.7402195942222956E-2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5.7371869933296384E-2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5.5853788743713481E-2</v>
      </c>
    </row>
    <row r="1437" spans="2:11" x14ac:dyDescent="0.25">
      <c r="B1437" s="5" t="str">
        <f t="shared" si="834"/>
        <v>SPS2</v>
      </c>
      <c r="C1437" s="5" t="str">
        <f t="shared" si="883"/>
        <v>CH</v>
      </c>
      <c r="D1437" t="s">
        <v>1432</v>
      </c>
      <c r="E1437" t="str">
        <f t="shared" si="884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3.0936416710590388E-5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5.1415353812564819E-5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7.433887628256179E-5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9.3179111102258457E-3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9.6857027641461743E-3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9.3532307162839893E-3</v>
      </c>
    </row>
    <row r="1438" spans="2:11" x14ac:dyDescent="0.25">
      <c r="B1438" s="5" t="str">
        <f t="shared" si="834"/>
        <v>SPS2</v>
      </c>
      <c r="C1438" s="5" t="str">
        <f t="shared" si="883"/>
        <v>CH</v>
      </c>
      <c r="D1438" t="s">
        <v>1433</v>
      </c>
      <c r="E1438" t="str">
        <f t="shared" si="884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5.555423356191104E-6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1.1246919775584323E-5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5.4089339191452042E-6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2.1702375378851002E-5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8.6278514553158355E-6</v>
      </c>
    </row>
    <row r="1439" spans="2:11" x14ac:dyDescent="0.25">
      <c r="B1439" s="5" t="str">
        <f t="shared" si="834"/>
        <v>SPS2</v>
      </c>
      <c r="C1439" s="5" t="str">
        <f t="shared" si="883"/>
        <v>CH</v>
      </c>
      <c r="D1439" t="s">
        <v>1434</v>
      </c>
      <c r="E1439" t="str">
        <f t="shared" si="884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1.112475668269608E-6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1.1571468936138975E-4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1.2334620871155017E-4</v>
      </c>
    </row>
    <row r="1440" spans="2:11" x14ac:dyDescent="0.25">
      <c r="B1440" s="5" t="str">
        <f t="shared" si="834"/>
        <v>SPS2</v>
      </c>
      <c r="C1440" s="5" t="str">
        <f t="shared" si="883"/>
        <v>CH</v>
      </c>
      <c r="D1440" t="s">
        <v>1435</v>
      </c>
      <c r="E1440" t="str">
        <f t="shared" si="884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3.4899653321437051E-6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1.648337134981002E-4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1.5505799682417982E-4</v>
      </c>
    </row>
    <row r="1441" spans="2:11" x14ac:dyDescent="0.25">
      <c r="B1441" s="5" t="str">
        <f t="shared" si="834"/>
        <v>SPS2</v>
      </c>
      <c r="C1441" s="5" t="str">
        <f t="shared" si="883"/>
        <v>CH</v>
      </c>
      <c r="D1441" t="s">
        <v>1436</v>
      </c>
      <c r="E1441" t="str">
        <f t="shared" si="884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2.9562300278295982E-3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2.6210412218181317E-3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2.6265885439306978E-3</v>
      </c>
    </row>
    <row r="1442" spans="2:11" x14ac:dyDescent="0.25">
      <c r="B1442" s="5" t="str">
        <f t="shared" si="834"/>
        <v>SPS2</v>
      </c>
      <c r="C1442" s="5" t="str">
        <f t="shared" si="883"/>
        <v>CH</v>
      </c>
      <c r="D1442" t="s">
        <v>1437</v>
      </c>
      <c r="E1442" t="str">
        <f t="shared" si="884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4.127495483796761E-7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4.3237237906095434E-6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1.0503876822704425E-6</v>
      </c>
    </row>
    <row r="1443" spans="2:11" x14ac:dyDescent="0.25">
      <c r="B1443" s="5" t="str">
        <f t="shared" si="834"/>
        <v>SPS2</v>
      </c>
      <c r="C1443" s="5" t="str">
        <f t="shared" si="883"/>
        <v>CH</v>
      </c>
      <c r="D1443" t="s">
        <v>1438</v>
      </c>
      <c r="E1443" t="str">
        <f t="shared" si="884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3.6515844601060446E-4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4.2183702426020983E-4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0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1.2681854427716744E-6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4.8408696095966162E-7</v>
      </c>
    </row>
    <row r="1444" spans="2:11" x14ac:dyDescent="0.25">
      <c r="B1444" s="5" t="str">
        <f t="shared" si="834"/>
        <v>SPS2</v>
      </c>
      <c r="C1444" s="5" t="str">
        <f t="shared" si="883"/>
        <v>CH</v>
      </c>
      <c r="D1444" t="s">
        <v>1439</v>
      </c>
      <c r="E1444" t="str">
        <f t="shared" si="884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2.7155579306294893E-5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4.9296893259231567E-5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0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1.4374920483083598E-6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5.3158267485909127E-7</v>
      </c>
    </row>
    <row r="1445" spans="2:11" x14ac:dyDescent="0.25">
      <c r="B1445" s="5" t="str">
        <f t="shared" si="834"/>
        <v>SPS2</v>
      </c>
      <c r="C1445" s="5" t="str">
        <f t="shared" si="883"/>
        <v>CH</v>
      </c>
      <c r="D1445" t="s">
        <v>1440</v>
      </c>
      <c r="E1445" t="str">
        <f t="shared" si="884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1.1591516216787466E-5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2.0454020748915702E-5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6.9206800000193195E-7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8.7723946716977895E-8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0</v>
      </c>
    </row>
    <row r="1446" spans="2:11" x14ac:dyDescent="0.25">
      <c r="B1446" s="5" t="str">
        <f t="shared" si="834"/>
        <v>SPS2</v>
      </c>
      <c r="C1446" s="5" t="str">
        <f t="shared" si="883"/>
        <v>CH</v>
      </c>
      <c r="D1446" t="s">
        <v>1441</v>
      </c>
      <c r="E1446" t="str">
        <f t="shared" si="884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1.7666021717503392E-6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3.3657565003743875E-6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0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0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25">
      <c r="B1447" s="5" t="str">
        <f t="shared" si="834"/>
        <v>SPS2</v>
      </c>
      <c r="C1447" s="5" t="str">
        <f t="shared" si="883"/>
        <v>CH</v>
      </c>
      <c r="D1447" t="s">
        <v>2117</v>
      </c>
      <c r="E1447" t="str">
        <f t="shared" si="884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5.998347237786552E-2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4.7984358064956156E-2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2.9989010161597877E-2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834"/>
        <v>SPS2</v>
      </c>
      <c r="C1448" s="5" t="str">
        <f t="shared" si="883"/>
        <v>CH</v>
      </c>
      <c r="D1448" t="s">
        <v>1442</v>
      </c>
      <c r="E1448" t="str">
        <f t="shared" si="884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1.4046359421628353E-2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3.8886967249396213E-2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4.7900502146462319E-2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0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1.6405897628886747E-6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5.8647052736880803E-7</v>
      </c>
    </row>
    <row r="1449" spans="2:11" x14ac:dyDescent="0.25">
      <c r="B1449" s="5" t="str">
        <f t="shared" si="834"/>
        <v>SPS2</v>
      </c>
      <c r="C1449" s="5" t="str">
        <f t="shared" si="883"/>
        <v>CH</v>
      </c>
      <c r="D1449" t="s">
        <v>1443</v>
      </c>
      <c r="E1449" t="str">
        <f t="shared" si="884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4.5426429908427754E-2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3.5085403274378396E-2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4.3266449210528066E-2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0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1.6491724043115058E-6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6.1097253375802011E-7</v>
      </c>
    </row>
    <row r="1450" spans="2:11" x14ac:dyDescent="0.25">
      <c r="B1450" s="5" t="str">
        <f t="shared" si="834"/>
        <v>SPS2</v>
      </c>
      <c r="C1450" s="5" t="str">
        <f t="shared" si="883"/>
        <v>CH</v>
      </c>
      <c r="D1450" t="s">
        <v>1444</v>
      </c>
      <c r="E1450" t="str">
        <f t="shared" si="884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9.3783575605061592E-3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7.4672820380005042E-3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9.1980712364166991E-3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0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0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0</v>
      </c>
    </row>
    <row r="1451" spans="2:11" x14ac:dyDescent="0.25">
      <c r="B1451" s="5" t="str">
        <f t="shared" si="834"/>
        <v>SPS2</v>
      </c>
      <c r="C1451" s="5" t="str">
        <f t="shared" si="883"/>
        <v>CH</v>
      </c>
      <c r="D1451" t="s">
        <v>1445</v>
      </c>
      <c r="E1451" t="str">
        <f t="shared" si="884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5.5075060064494949E-4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1.5389319465089569E-5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1.9363966391680134E-5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0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0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834"/>
        <v>SPS2</v>
      </c>
      <c r="C1452" s="5" t="str">
        <f t="shared" si="883"/>
        <v>CH</v>
      </c>
      <c r="D1452" t="s">
        <v>2120</v>
      </c>
      <c r="E1452" t="str">
        <f t="shared" si="884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1.3748630218288677E-3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1.1020947761349799E-3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6.8657689058599801E-4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834"/>
        <v>SPS2</v>
      </c>
      <c r="C1453" s="5" t="str">
        <f t="shared" si="883"/>
        <v>CH</v>
      </c>
      <c r="D1453" t="s">
        <v>1446</v>
      </c>
      <c r="E1453" t="str">
        <f t="shared" si="884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1.7880355908811324E-4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2.4673180577227299E-4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0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5.9616525887684732E-7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4.3153927078208203E-8</v>
      </c>
    </row>
    <row r="1454" spans="2:11" x14ac:dyDescent="0.25">
      <c r="B1454" s="5" t="str">
        <f t="shared" si="834"/>
        <v>SPS2</v>
      </c>
      <c r="C1454" s="5" t="str">
        <f t="shared" si="883"/>
        <v>CH</v>
      </c>
      <c r="D1454" t="s">
        <v>1447</v>
      </c>
      <c r="E1454" t="str">
        <f t="shared" si="884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2.0351057633478721E-5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5.263401071432597E-5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0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6.8102677553045232E-7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1.4148052985425211E-7</v>
      </c>
    </row>
    <row r="1455" spans="2:11" x14ac:dyDescent="0.25">
      <c r="B1455" s="5" t="str">
        <f t="shared" si="834"/>
        <v>SPS2</v>
      </c>
      <c r="C1455" s="5" t="str">
        <f t="shared" si="883"/>
        <v>CH</v>
      </c>
      <c r="D1455" t="s">
        <v>1448</v>
      </c>
      <c r="E1455" t="str">
        <f t="shared" si="884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1.0527031103215258E-5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2.4445393033364928E-5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0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0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0</v>
      </c>
    </row>
    <row r="1456" spans="2:11" x14ac:dyDescent="0.25">
      <c r="B1456" s="5" t="str">
        <f t="shared" si="834"/>
        <v>SPS2</v>
      </c>
      <c r="C1456" s="5" t="str">
        <f t="shared" si="883"/>
        <v>CH</v>
      </c>
      <c r="D1456" t="s">
        <v>1449</v>
      </c>
      <c r="E1456" t="str">
        <f t="shared" si="884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1.2057718926140384E-6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3.1595249067774974E-6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0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0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25">
      <c r="B1457" s="5" t="str">
        <f t="shared" si="834"/>
        <v>SPS2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si="834"/>
        <v>SPS2</v>
      </c>
      <c r="C1458" s="5" t="str">
        <f t="shared" ref="C1458:C1480" si="885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886">IFERROR(G1434/G1399,"-")</f>
        <v>-</v>
      </c>
      <c r="H1458" s="1" t="str">
        <f t="shared" si="886"/>
        <v>-</v>
      </c>
      <c r="I1458" s="1" t="str">
        <f t="shared" si="886"/>
        <v>-</v>
      </c>
      <c r="J1458" s="1" t="str">
        <f t="shared" si="886"/>
        <v>-</v>
      </c>
      <c r="K1458" s="1" t="str">
        <f t="shared" si="886"/>
        <v>-</v>
      </c>
    </row>
    <row r="1459" spans="2:11" x14ac:dyDescent="0.25">
      <c r="B1459" s="5" t="str">
        <f t="shared" si="834"/>
        <v>SPS2</v>
      </c>
      <c r="C1459" s="5" t="str">
        <f t="shared" si="885"/>
        <v>CH</v>
      </c>
      <c r="D1459" t="s">
        <v>1451</v>
      </c>
      <c r="E1459" t="s">
        <v>1230</v>
      </c>
      <c r="F1459" s="1">
        <f t="shared" ref="F1459:K1459" si="887">IFERROR(F1435/F1400,"-")</f>
        <v>0.37869321701871789</v>
      </c>
      <c r="G1459" s="1">
        <f t="shared" si="887"/>
        <v>0.38525009576638714</v>
      </c>
      <c r="H1459" s="1">
        <f t="shared" si="887"/>
        <v>0.39623627218987462</v>
      </c>
      <c r="I1459" s="1">
        <f t="shared" si="887"/>
        <v>0.44731200162269308</v>
      </c>
      <c r="J1459" s="1">
        <f t="shared" si="887"/>
        <v>0.4714249559956239</v>
      </c>
      <c r="K1459" s="1">
        <f t="shared" si="887"/>
        <v>0.53144759248864359</v>
      </c>
    </row>
    <row r="1460" spans="2:11" x14ac:dyDescent="0.25">
      <c r="B1460" s="5" t="str">
        <f t="shared" ref="B1460:B1523" si="888">B1459</f>
        <v>SPS2</v>
      </c>
      <c r="C1460" s="5" t="str">
        <f t="shared" si="885"/>
        <v>CH</v>
      </c>
      <c r="D1460" t="s">
        <v>1452</v>
      </c>
      <c r="E1460" t="s">
        <v>1230</v>
      </c>
      <c r="F1460" s="1">
        <f t="shared" ref="F1460:K1460" si="889">IFERROR(F1436/F1401,"-")</f>
        <v>0.27518070496490721</v>
      </c>
      <c r="G1460" s="1">
        <f t="shared" si="889"/>
        <v>0.27921812487745468</v>
      </c>
      <c r="H1460" s="1">
        <f t="shared" si="889"/>
        <v>0.28559342310869773</v>
      </c>
      <c r="I1460" s="1">
        <f t="shared" si="889"/>
        <v>0.32429502366616664</v>
      </c>
      <c r="J1460" s="1">
        <f t="shared" si="889"/>
        <v>0.35053532875002463</v>
      </c>
      <c r="K1460" s="1">
        <f t="shared" si="889"/>
        <v>0.37782510421984544</v>
      </c>
    </row>
    <row r="1461" spans="2:11" x14ac:dyDescent="0.25">
      <c r="B1461" s="5" t="str">
        <f t="shared" si="888"/>
        <v>SPS2</v>
      </c>
      <c r="C1461" s="5" t="str">
        <f t="shared" si="885"/>
        <v>CH</v>
      </c>
      <c r="D1461" t="s">
        <v>1453</v>
      </c>
      <c r="E1461" t="s">
        <v>1230</v>
      </c>
      <c r="F1461" s="1">
        <f t="shared" ref="F1461:K1461" si="890">IFERROR(F1437/F1402,"-")</f>
        <v>0.18297040713439899</v>
      </c>
      <c r="G1461" s="1">
        <f t="shared" si="890"/>
        <v>0.1846779890272067</v>
      </c>
      <c r="H1461" s="1">
        <f t="shared" si="890"/>
        <v>0.18802810358834185</v>
      </c>
      <c r="I1461" s="1">
        <f t="shared" si="890"/>
        <v>0.2158788657172579</v>
      </c>
      <c r="J1461" s="1">
        <f t="shared" si="890"/>
        <v>0.23614249956360547</v>
      </c>
      <c r="K1461" s="1">
        <f t="shared" si="890"/>
        <v>0.25554604737499326</v>
      </c>
    </row>
    <row r="1462" spans="2:11" x14ac:dyDescent="0.25">
      <c r="B1462" s="5" t="str">
        <f t="shared" si="888"/>
        <v>SPS2</v>
      </c>
      <c r="C1462" s="5" t="str">
        <f t="shared" si="885"/>
        <v>CH</v>
      </c>
      <c r="D1462" t="s">
        <v>1454</v>
      </c>
      <c r="E1462" t="s">
        <v>1230</v>
      </c>
      <c r="F1462" s="1" t="str">
        <f t="shared" ref="F1462:K1462" si="891">IFERROR(F1438/F1403,"-")</f>
        <v>-</v>
      </c>
      <c r="G1462" s="1">
        <f t="shared" si="891"/>
        <v>0.12643429100140413</v>
      </c>
      <c r="H1462" s="1">
        <f t="shared" si="891"/>
        <v>0.12967590652267616</v>
      </c>
      <c r="I1462" s="1">
        <f t="shared" si="891"/>
        <v>0.14012685719336843</v>
      </c>
      <c r="J1462" s="1">
        <f t="shared" si="891"/>
        <v>0.15772012405759217</v>
      </c>
      <c r="K1462" s="1">
        <f t="shared" si="891"/>
        <v>0.17131163819475967</v>
      </c>
    </row>
    <row r="1463" spans="2:11" x14ac:dyDescent="0.25">
      <c r="B1463" s="5" t="str">
        <f t="shared" si="888"/>
        <v>SPS2</v>
      </c>
      <c r="C1463" s="5" t="str">
        <f t="shared" si="885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892">IFERROR(G1439/G1405,"-")</f>
        <v>-</v>
      </c>
      <c r="H1463" s="1" t="str">
        <f t="shared" si="892"/>
        <v>-</v>
      </c>
      <c r="I1463" s="1">
        <f t="shared" si="892"/>
        <v>0.23440176174444094</v>
      </c>
      <c r="J1463" s="1">
        <f t="shared" si="892"/>
        <v>0.26827828925036301</v>
      </c>
      <c r="K1463" s="1">
        <f t="shared" si="892"/>
        <v>0.28649251243860224</v>
      </c>
    </row>
    <row r="1464" spans="2:11" x14ac:dyDescent="0.25">
      <c r="B1464" s="5" t="str">
        <f t="shared" si="888"/>
        <v>SPS2</v>
      </c>
      <c r="C1464" s="5" t="str">
        <f t="shared" si="885"/>
        <v>CH</v>
      </c>
      <c r="D1464" t="s">
        <v>1456</v>
      </c>
      <c r="E1464" t="s">
        <v>1230</v>
      </c>
      <c r="F1464" s="1" t="str">
        <f t="shared" ref="F1464:K1464" si="893">IFERROR(F1440/F1406,"-")</f>
        <v>-</v>
      </c>
      <c r="G1464" s="1" t="str">
        <f t="shared" si="893"/>
        <v>-</v>
      </c>
      <c r="H1464" s="1" t="str">
        <f t="shared" si="893"/>
        <v>-</v>
      </c>
      <c r="I1464" s="1">
        <f t="shared" si="893"/>
        <v>0.16910151451049585</v>
      </c>
      <c r="J1464" s="1">
        <f t="shared" si="893"/>
        <v>0.19336661123772469</v>
      </c>
      <c r="K1464" s="1">
        <f t="shared" si="893"/>
        <v>0.20526854884023027</v>
      </c>
    </row>
    <row r="1465" spans="2:11" x14ac:dyDescent="0.25">
      <c r="B1465" s="5" t="str">
        <f t="shared" si="888"/>
        <v>SPS2</v>
      </c>
      <c r="C1465" s="5" t="str">
        <f t="shared" si="885"/>
        <v>CH</v>
      </c>
      <c r="D1465" t="s">
        <v>1457</v>
      </c>
      <c r="E1465" t="s">
        <v>1230</v>
      </c>
      <c r="F1465" s="1" t="str">
        <f t="shared" ref="F1465:K1465" si="894">IFERROR(F1441/F1407,"-")</f>
        <v>-</v>
      </c>
      <c r="G1465" s="1" t="str">
        <f t="shared" si="894"/>
        <v>-</v>
      </c>
      <c r="H1465" s="1" t="str">
        <f t="shared" si="894"/>
        <v>-</v>
      </c>
      <c r="I1465" s="1">
        <f t="shared" si="894"/>
        <v>0.11310839137372304</v>
      </c>
      <c r="J1465" s="1">
        <f t="shared" si="894"/>
        <v>0.12753047769872583</v>
      </c>
      <c r="K1465" s="1">
        <f t="shared" si="894"/>
        <v>0.14201395923701662</v>
      </c>
    </row>
    <row r="1466" spans="2:11" x14ac:dyDescent="0.25">
      <c r="B1466" s="5" t="str">
        <f t="shared" si="888"/>
        <v>SPS2</v>
      </c>
      <c r="C1466" s="5" t="str">
        <f t="shared" si="885"/>
        <v>CH</v>
      </c>
      <c r="D1466" t="s">
        <v>1458</v>
      </c>
      <c r="E1466" t="s">
        <v>1230</v>
      </c>
      <c r="F1466" s="1" t="str">
        <f t="shared" ref="F1466:K1466" si="895">IFERROR(F1442/F1408,"-")</f>
        <v>-</v>
      </c>
      <c r="G1466" s="1" t="str">
        <f t="shared" si="895"/>
        <v>-</v>
      </c>
      <c r="H1466" s="1" t="str">
        <f t="shared" si="895"/>
        <v>-</v>
      </c>
      <c r="I1466" s="1">
        <f t="shared" si="895"/>
        <v>7.5896650184428829E-2</v>
      </c>
      <c r="J1466" s="1">
        <f t="shared" si="895"/>
        <v>8.5920749621222536E-2</v>
      </c>
      <c r="K1466" s="1">
        <f t="shared" si="895"/>
        <v>9.6823047759784134E-2</v>
      </c>
    </row>
    <row r="1467" spans="2:11" x14ac:dyDescent="0.25">
      <c r="B1467" s="5" t="str">
        <f t="shared" si="888"/>
        <v>SPS2</v>
      </c>
      <c r="C1467" s="5" t="str">
        <f t="shared" si="885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896">IFERROR(G1443/G1414,"-")</f>
        <v>0.16251369968883839</v>
      </c>
      <c r="H1467" s="1">
        <f t="shared" si="896"/>
        <v>0.16368282314248006</v>
      </c>
      <c r="I1467" s="1" t="str">
        <f t="shared" si="896"/>
        <v>-</v>
      </c>
      <c r="J1467" s="1">
        <f t="shared" si="896"/>
        <v>0.20464841739300299</v>
      </c>
      <c r="K1467" s="1">
        <f t="shared" si="896"/>
        <v>0.2046484173930031</v>
      </c>
    </row>
    <row r="1468" spans="2:11" x14ac:dyDescent="0.25">
      <c r="B1468" s="5" t="str">
        <f t="shared" si="888"/>
        <v>SPS2</v>
      </c>
      <c r="C1468" s="5" t="str">
        <f t="shared" si="885"/>
        <v>CH</v>
      </c>
      <c r="D1468" t="s">
        <v>1460</v>
      </c>
      <c r="E1468" t="s">
        <v>1230</v>
      </c>
      <c r="F1468" s="1" t="str">
        <f t="shared" ref="F1468:K1468" si="897">IFERROR(F1444/F1415,"-")</f>
        <v>-</v>
      </c>
      <c r="G1468" s="1">
        <f t="shared" si="897"/>
        <v>0.11649393435744129</v>
      </c>
      <c r="H1468" s="1">
        <f t="shared" si="897"/>
        <v>0.11902506713646986</v>
      </c>
      <c r="I1468" s="1" t="str">
        <f t="shared" si="897"/>
        <v>-</v>
      </c>
      <c r="J1468" s="1">
        <f t="shared" si="897"/>
        <v>0.14667213054387701</v>
      </c>
      <c r="K1468" s="1">
        <f t="shared" si="897"/>
        <v>0.14667213054387701</v>
      </c>
    </row>
    <row r="1469" spans="2:11" x14ac:dyDescent="0.25">
      <c r="B1469" s="5" t="str">
        <f t="shared" si="888"/>
        <v>SPS2</v>
      </c>
      <c r="C1469" s="5" t="str">
        <f t="shared" si="885"/>
        <v>CH</v>
      </c>
      <c r="D1469" t="s">
        <v>1461</v>
      </c>
      <c r="E1469" t="s">
        <v>1230</v>
      </c>
      <c r="F1469" s="1" t="str">
        <f t="shared" ref="F1469:K1469" si="898">IFERROR(F1445/F1416,"-")</f>
        <v>-</v>
      </c>
      <c r="G1469" s="1">
        <f t="shared" si="898"/>
        <v>7.8235828164578983E-2</v>
      </c>
      <c r="H1469" s="1">
        <f t="shared" si="898"/>
        <v>7.9867998869270151E-2</v>
      </c>
      <c r="I1469" s="1">
        <f t="shared" si="898"/>
        <v>8.1450783244501251E-2</v>
      </c>
      <c r="J1469" s="1">
        <f t="shared" si="898"/>
        <v>9.8731992554448908E-2</v>
      </c>
      <c r="K1469" s="1" t="str">
        <f t="shared" si="898"/>
        <v>-</v>
      </c>
    </row>
    <row r="1470" spans="2:11" x14ac:dyDescent="0.25">
      <c r="B1470" s="5" t="str">
        <f t="shared" si="888"/>
        <v>SPS2</v>
      </c>
      <c r="C1470" s="5" t="str">
        <f t="shared" si="885"/>
        <v>CH</v>
      </c>
      <c r="D1470" t="s">
        <v>1462</v>
      </c>
      <c r="E1470" t="s">
        <v>1230</v>
      </c>
      <c r="F1470" s="1" t="str">
        <f t="shared" ref="F1470:K1470" si="899">IFERROR(F1446/F1417,"-")</f>
        <v>-</v>
      </c>
      <c r="G1470" s="1">
        <f t="shared" si="899"/>
        <v>5.2751439830497751E-2</v>
      </c>
      <c r="H1470" s="1">
        <f t="shared" si="899"/>
        <v>5.3866668812723492E-2</v>
      </c>
      <c r="I1470" s="1" t="str">
        <f t="shared" si="899"/>
        <v>-</v>
      </c>
      <c r="J1470" s="1" t="str">
        <f t="shared" si="899"/>
        <v>-</v>
      </c>
      <c r="K1470" s="1" t="str">
        <f t="shared" si="899"/>
        <v>-</v>
      </c>
    </row>
    <row r="1471" spans="2:11" x14ac:dyDescent="0.25">
      <c r="B1471" s="5" t="str">
        <f t="shared" si="888"/>
        <v>SPS2</v>
      </c>
      <c r="C1471" s="5" t="str">
        <f t="shared" si="885"/>
        <v>CH</v>
      </c>
      <c r="D1471" t="s">
        <v>2118</v>
      </c>
      <c r="E1471" t="s">
        <v>1230</v>
      </c>
      <c r="F1471" s="1">
        <f>IFERROR(F1447/F1418,"-")</f>
        <v>9.9502495941956628</v>
      </c>
      <c r="G1471" s="1">
        <f t="shared" ref="G1471:K1471" si="900">IFERROR(G1447/G1418,"-")</f>
        <v>7.9797266512003207</v>
      </c>
      <c r="H1471" s="1">
        <f t="shared" si="900"/>
        <v>5.0239422367072919</v>
      </c>
      <c r="I1471" s="1" t="str">
        <f t="shared" si="900"/>
        <v>-</v>
      </c>
      <c r="J1471" s="1" t="str">
        <f t="shared" si="900"/>
        <v>-</v>
      </c>
      <c r="K1471" s="1" t="str">
        <f t="shared" si="900"/>
        <v>-</v>
      </c>
    </row>
    <row r="1472" spans="2:11" x14ac:dyDescent="0.25">
      <c r="B1472" s="5" t="str">
        <f t="shared" si="888"/>
        <v>SPS2</v>
      </c>
      <c r="C1472" s="5" t="str">
        <f t="shared" si="885"/>
        <v>CH</v>
      </c>
      <c r="D1472" t="s">
        <v>1463</v>
      </c>
      <c r="E1472" t="s">
        <v>1230</v>
      </c>
      <c r="F1472" s="1">
        <f t="shared" ref="F1472:K1472" si="901">IFERROR(F1448/F1419,"-")</f>
        <v>0.12391916748597492</v>
      </c>
      <c r="G1472" s="1">
        <f t="shared" si="901"/>
        <v>0.12667708759794527</v>
      </c>
      <c r="H1472" s="1">
        <f t="shared" si="901"/>
        <v>0.12823040327711743</v>
      </c>
      <c r="I1472" s="1" t="str">
        <f t="shared" si="901"/>
        <v>-</v>
      </c>
      <c r="J1472" s="1">
        <f t="shared" si="901"/>
        <v>0.16277535382583055</v>
      </c>
      <c r="K1472" s="1">
        <f t="shared" si="901"/>
        <v>0.16277535382583053</v>
      </c>
    </row>
    <row r="1473" spans="2:11" x14ac:dyDescent="0.25">
      <c r="B1473" s="5" t="str">
        <f t="shared" si="888"/>
        <v>SPS2</v>
      </c>
      <c r="C1473" s="5" t="str">
        <f t="shared" si="885"/>
        <v>CH</v>
      </c>
      <c r="D1473" t="s">
        <v>1464</v>
      </c>
      <c r="E1473" t="s">
        <v>1230</v>
      </c>
      <c r="F1473" s="1">
        <f t="shared" ref="F1473:K1473" si="902">IFERROR(F1449/F1420,"-")</f>
        <v>8.7465847585616693E-2</v>
      </c>
      <c r="G1473" s="1">
        <f t="shared" si="902"/>
        <v>8.7809924233274092E-2</v>
      </c>
      <c r="H1473" s="1">
        <f t="shared" si="902"/>
        <v>8.7757397661991421E-2</v>
      </c>
      <c r="I1473" s="1" t="str">
        <f t="shared" si="902"/>
        <v>-</v>
      </c>
      <c r="J1473" s="1">
        <f t="shared" si="902"/>
        <v>0.11343753121307455</v>
      </c>
      <c r="K1473" s="1">
        <f t="shared" si="902"/>
        <v>0.11343753121307455</v>
      </c>
    </row>
    <row r="1474" spans="2:11" x14ac:dyDescent="0.25">
      <c r="B1474" s="5" t="str">
        <f t="shared" si="888"/>
        <v>SPS2</v>
      </c>
      <c r="C1474" s="5" t="str">
        <f t="shared" si="885"/>
        <v>CH</v>
      </c>
      <c r="D1474" t="s">
        <v>1465</v>
      </c>
      <c r="E1474" t="s">
        <v>1230</v>
      </c>
      <c r="F1474" s="1">
        <f t="shared" ref="F1474:K1474" si="903">IFERROR(F1450/F1421,"-")</f>
        <v>5.7949527986548607E-2</v>
      </c>
      <c r="G1474" s="1">
        <f t="shared" si="903"/>
        <v>5.8176703973221396E-2</v>
      </c>
      <c r="H1474" s="1">
        <f t="shared" si="903"/>
        <v>5.8147339999905505E-2</v>
      </c>
      <c r="I1474" s="1" t="str">
        <f t="shared" si="903"/>
        <v>-</v>
      </c>
      <c r="J1474" s="1" t="str">
        <f t="shared" si="903"/>
        <v>-</v>
      </c>
      <c r="K1474" s="1" t="str">
        <f t="shared" si="903"/>
        <v>-</v>
      </c>
    </row>
    <row r="1475" spans="2:11" x14ac:dyDescent="0.25">
      <c r="B1475" s="5" t="str">
        <f t="shared" si="888"/>
        <v>SPS2</v>
      </c>
      <c r="C1475" s="5" t="str">
        <f t="shared" si="885"/>
        <v>CH</v>
      </c>
      <c r="D1475" t="s">
        <v>1466</v>
      </c>
      <c r="E1475" t="s">
        <v>1230</v>
      </c>
      <c r="F1475" s="1">
        <f t="shared" ref="F1475:K1475" si="904">IFERROR(F1451/F1422,"-")</f>
        <v>3.8646481387947511E-2</v>
      </c>
      <c r="G1475" s="1">
        <f t="shared" si="904"/>
        <v>3.8948822076071449E-2</v>
      </c>
      <c r="H1475" s="1">
        <f t="shared" si="904"/>
        <v>3.9282049017302659E-2</v>
      </c>
      <c r="I1475" s="1" t="str">
        <f t="shared" si="904"/>
        <v>-</v>
      </c>
      <c r="J1475" s="1" t="str">
        <f t="shared" si="904"/>
        <v>-</v>
      </c>
      <c r="K1475" s="1" t="str">
        <f t="shared" si="904"/>
        <v>-</v>
      </c>
    </row>
    <row r="1476" spans="2:11" x14ac:dyDescent="0.25">
      <c r="B1476" s="5" t="str">
        <f t="shared" si="888"/>
        <v>SPS2</v>
      </c>
      <c r="C1476" s="5" t="str">
        <f t="shared" si="885"/>
        <v>CH</v>
      </c>
      <c r="D1476" t="s">
        <v>2121</v>
      </c>
      <c r="E1476" t="s">
        <v>1230</v>
      </c>
      <c r="F1476" s="1">
        <f>IFERROR(F1452/F1428,"-")</f>
        <v>9.9502495941956592</v>
      </c>
      <c r="G1476" s="1">
        <f t="shared" ref="G1476:K1476" si="905">IFERROR(G1452/G1428,"-")</f>
        <v>7.9767976048237506</v>
      </c>
      <c r="H1476" s="1">
        <f t="shared" si="905"/>
        <v>5.0166196207658764</v>
      </c>
      <c r="I1476" s="1" t="str">
        <f t="shared" si="905"/>
        <v>-</v>
      </c>
      <c r="J1476" s="1" t="str">
        <f t="shared" si="905"/>
        <v>-</v>
      </c>
      <c r="K1476" s="1" t="str">
        <f t="shared" si="905"/>
        <v>-</v>
      </c>
    </row>
    <row r="1477" spans="2:11" x14ac:dyDescent="0.25">
      <c r="B1477" s="5" t="str">
        <f t="shared" si="888"/>
        <v>SPS2</v>
      </c>
      <c r="C1477" s="5" t="str">
        <f t="shared" si="885"/>
        <v>CH</v>
      </c>
      <c r="D1477" t="s">
        <v>1467</v>
      </c>
      <c r="E1477" t="s">
        <v>1230</v>
      </c>
      <c r="F1477" s="1" t="str">
        <f t="shared" ref="F1477:K1477" si="906">IFERROR(F1453/F1429,"-")</f>
        <v>-</v>
      </c>
      <c r="G1477" s="1">
        <f t="shared" si="906"/>
        <v>0.1202375197484722</v>
      </c>
      <c r="H1477" s="1">
        <f t="shared" si="906"/>
        <v>0.12190169681743775</v>
      </c>
      <c r="I1477" s="1" t="str">
        <f t="shared" si="906"/>
        <v>-</v>
      </c>
      <c r="J1477" s="1">
        <f t="shared" si="906"/>
        <v>0.15290988452940502</v>
      </c>
      <c r="K1477" s="1">
        <f t="shared" si="906"/>
        <v>0.15290988452940468</v>
      </c>
    </row>
    <row r="1478" spans="2:11" x14ac:dyDescent="0.25">
      <c r="B1478" s="5" t="str">
        <f t="shared" si="888"/>
        <v>SPS2</v>
      </c>
      <c r="C1478" s="5" t="str">
        <f t="shared" si="885"/>
        <v>CH</v>
      </c>
      <c r="D1478" t="s">
        <v>1468</v>
      </c>
      <c r="E1478" t="s">
        <v>1230</v>
      </c>
      <c r="F1478" s="1" t="str">
        <f t="shared" ref="F1478:K1478" si="907">IFERROR(F1454/F1430,"-")</f>
        <v>-</v>
      </c>
      <c r="G1478" s="1">
        <f t="shared" si="907"/>
        <v>8.4998076233608846E-2</v>
      </c>
      <c r="H1478" s="1">
        <f t="shared" si="907"/>
        <v>8.7515188410039094E-2</v>
      </c>
      <c r="I1478" s="1" t="str">
        <f t="shared" si="907"/>
        <v>-</v>
      </c>
      <c r="J1478" s="1">
        <f t="shared" si="907"/>
        <v>0.10690580004720134</v>
      </c>
      <c r="K1478" s="1">
        <f t="shared" si="907"/>
        <v>0.10690580004720139</v>
      </c>
    </row>
    <row r="1479" spans="2:11" x14ac:dyDescent="0.25">
      <c r="B1479" s="5" t="str">
        <f t="shared" si="888"/>
        <v>SPS2</v>
      </c>
      <c r="C1479" s="5" t="str">
        <f t="shared" si="885"/>
        <v>CH</v>
      </c>
      <c r="D1479" t="s">
        <v>1469</v>
      </c>
      <c r="E1479" t="s">
        <v>1230</v>
      </c>
      <c r="F1479" s="1" t="str">
        <f t="shared" ref="F1479:K1479" si="908">IFERROR(F1455/F1431,"-")</f>
        <v>-</v>
      </c>
      <c r="G1479" s="1">
        <f t="shared" si="908"/>
        <v>5.6422133461237159E-2</v>
      </c>
      <c r="H1479" s="1">
        <f t="shared" si="908"/>
        <v>5.7956844598166711E-2</v>
      </c>
      <c r="I1479" s="1" t="str">
        <f t="shared" si="908"/>
        <v>-</v>
      </c>
      <c r="J1479" s="1" t="str">
        <f t="shared" si="908"/>
        <v>-</v>
      </c>
      <c r="K1479" s="1" t="str">
        <f t="shared" si="908"/>
        <v>-</v>
      </c>
    </row>
    <row r="1480" spans="2:11" x14ac:dyDescent="0.25">
      <c r="B1480" s="5" t="str">
        <f t="shared" si="888"/>
        <v>SPS2</v>
      </c>
      <c r="C1480" s="5" t="str">
        <f t="shared" si="885"/>
        <v>CH</v>
      </c>
      <c r="D1480" t="s">
        <v>1470</v>
      </c>
      <c r="E1480" t="s">
        <v>1230</v>
      </c>
      <c r="F1480" s="1" t="str">
        <f t="shared" ref="F1480:K1480" si="909">IFERROR(F1456/F1432,"-")</f>
        <v>-</v>
      </c>
      <c r="G1480" s="1">
        <f t="shared" si="909"/>
        <v>3.7689157759834363E-2</v>
      </c>
      <c r="H1480" s="1">
        <f t="shared" si="909"/>
        <v>3.8694438978530428E-2</v>
      </c>
      <c r="I1480" s="1" t="str">
        <f t="shared" si="909"/>
        <v>-</v>
      </c>
      <c r="J1480" s="1" t="str">
        <f t="shared" si="909"/>
        <v>-</v>
      </c>
      <c r="K1480" s="1" t="str">
        <f t="shared" si="909"/>
        <v>-</v>
      </c>
    </row>
    <row r="1481" spans="2:11" x14ac:dyDescent="0.25">
      <c r="B1481" s="9" t="str">
        <f t="shared" si="888"/>
        <v>SPS2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10">G1482</f>
        <v>0.30572256601970044</v>
      </c>
      <c r="H1481" s="3">
        <f t="shared" si="910"/>
        <v>0.35149986092475399</v>
      </c>
      <c r="I1481" s="3">
        <f t="shared" si="910"/>
        <v>0.45078090930791764</v>
      </c>
      <c r="J1481" s="3">
        <f t="shared" si="910"/>
        <v>0.47237229295618205</v>
      </c>
      <c r="K1481" s="3">
        <f t="shared" si="910"/>
        <v>0.48809144422268164</v>
      </c>
    </row>
    <row r="1482" spans="2:11" x14ac:dyDescent="0.25">
      <c r="B1482" s="5" t="str">
        <f t="shared" si="888"/>
        <v>SPS2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11">G1483</f>
        <v>0.30572256601970044</v>
      </c>
      <c r="H1482" s="1">
        <f t="shared" si="911"/>
        <v>0.35149986092475399</v>
      </c>
      <c r="I1482" s="1">
        <f t="shared" si="911"/>
        <v>0.45078090930791764</v>
      </c>
      <c r="J1482" s="1">
        <f t="shared" si="911"/>
        <v>0.47237229295618205</v>
      </c>
      <c r="K1482" s="1">
        <f t="shared" si="911"/>
        <v>0.48809144422268164</v>
      </c>
    </row>
    <row r="1483" spans="2:11" x14ac:dyDescent="0.25">
      <c r="B1483" s="5" t="str">
        <f t="shared" si="888"/>
        <v>SPS2</v>
      </c>
      <c r="C1483" s="5" t="str">
        <f t="shared" ref="C1483" si="912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0.35149986092475399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0.45078090930791764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0.47237229295618205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0.48809144422268164</v>
      </c>
    </row>
    <row r="1484" spans="2:11" x14ac:dyDescent="0.25">
      <c r="B1484" s="9" t="str">
        <f t="shared" si="888"/>
        <v>SPS2</v>
      </c>
      <c r="C1484" s="9" t="str">
        <f t="shared" ref="B1484:C1487" si="913">C1483</f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14">G1485</f>
        <v>2.7694845980498664E-2</v>
      </c>
      <c r="H1484" s="3">
        <f t="shared" si="914"/>
        <v>2.8832315767707572E-2</v>
      </c>
      <c r="I1484" s="3">
        <f t="shared" si="914"/>
        <v>3.0543631535415186E-2</v>
      </c>
      <c r="J1484" s="3">
        <f t="shared" si="914"/>
        <v>3.2006602244411902E-2</v>
      </c>
      <c r="K1484" s="3">
        <f t="shared" si="914"/>
        <v>3.3071687199031086E-2</v>
      </c>
    </row>
    <row r="1485" spans="2:11" x14ac:dyDescent="0.25">
      <c r="B1485" s="5" t="str">
        <f t="shared" si="888"/>
        <v>SPS2</v>
      </c>
      <c r="C1485" s="5" t="str">
        <f t="shared" si="913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2.8832315767707572E-2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3.0543631535415186E-2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3.2006602244411902E-2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3.3071687199031086E-2</v>
      </c>
    </row>
    <row r="1486" spans="2:11" x14ac:dyDescent="0.25">
      <c r="B1486" s="9" t="str">
        <f t="shared" si="888"/>
        <v>SPS2</v>
      </c>
      <c r="C1486" s="9" t="str">
        <f t="shared" si="913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888"/>
        <v>SPS2</v>
      </c>
      <c r="C1487" s="5" t="str">
        <f t="shared" si="913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15">G1485/G1483</f>
        <v>9.058816410272455E-2</v>
      </c>
      <c r="H1487" s="1">
        <f t="shared" si="915"/>
        <v>8.2026535350122776E-2</v>
      </c>
      <c r="I1487" s="1">
        <f t="shared" si="915"/>
        <v>6.7757154095786171E-2</v>
      </c>
      <c r="J1487" s="1">
        <f t="shared" si="915"/>
        <v>6.7757154095786226E-2</v>
      </c>
      <c r="K1487" s="1">
        <f t="shared" si="915"/>
        <v>6.7757154095786226E-2</v>
      </c>
    </row>
    <row r="1488" spans="2:11" x14ac:dyDescent="0.25">
      <c r="B1488" s="9" t="str">
        <f t="shared" si="888"/>
        <v>SPS2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16">G1489</f>
        <v>0.6125507323013607</v>
      </c>
      <c r="H1488" s="3">
        <f t="shared" ref="H1488:H1489" si="917">H1489</f>
        <v>0.65830556959273911</v>
      </c>
      <c r="I1488" s="3">
        <f t="shared" ref="I1488:I1489" si="918">I1489</f>
        <v>0.7379148962536346</v>
      </c>
      <c r="J1488" s="3">
        <f t="shared" ref="J1488:J1489" si="919">J1489</f>
        <v>0.77325934733858914</v>
      </c>
      <c r="K1488" s="3">
        <f t="shared" ref="K1488:K1489" si="920">K1489</f>
        <v>0.79899112903654423</v>
      </c>
    </row>
    <row r="1489" spans="2:11" x14ac:dyDescent="0.25">
      <c r="B1489" s="5" t="str">
        <f t="shared" si="888"/>
        <v>SPS2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16"/>
        <v>0.6125507323013607</v>
      </c>
      <c r="H1489" s="1">
        <f t="shared" si="917"/>
        <v>0.65830556959273911</v>
      </c>
      <c r="I1489" s="1">
        <f t="shared" si="918"/>
        <v>0.7379148962536346</v>
      </c>
      <c r="J1489" s="1">
        <f t="shared" si="919"/>
        <v>0.77325934733858914</v>
      </c>
      <c r="K1489" s="1">
        <f t="shared" si="920"/>
        <v>0.79899112903654423</v>
      </c>
    </row>
    <row r="1490" spans="2:11" x14ac:dyDescent="0.25">
      <c r="B1490" s="5" t="str">
        <f t="shared" si="888"/>
        <v>SPS2</v>
      </c>
      <c r="C1490" s="5" t="str">
        <f t="shared" ref="C1490" si="921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0.65830556959273911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0.7379148962536346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0.77325934733858914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0.79899112903654423</v>
      </c>
    </row>
    <row r="1491" spans="2:11" x14ac:dyDescent="0.25">
      <c r="B1491" s="9" t="str">
        <f t="shared" si="888"/>
        <v>SPS2</v>
      </c>
      <c r="C1491" s="9" t="str">
        <f t="shared" ref="B1491:C1495" si="922">C1490</f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23">G1492</f>
        <v>3.4100101820365179E-2</v>
      </c>
      <c r="H1491" s="3">
        <f t="shared" ref="H1491" si="924">H1492</f>
        <v>3.5370833501607003E-2</v>
      </c>
      <c r="I1491" s="3">
        <f t="shared" ref="I1491" si="925">I1492</f>
        <v>3.726366700321395E-2</v>
      </c>
      <c r="J1491" s="3">
        <f t="shared" ref="J1491" si="926">J1492</f>
        <v>3.9048512196511807E-2</v>
      </c>
      <c r="K1491" s="3">
        <f t="shared" ref="K1491" si="927">K1492</f>
        <v>4.0347931071859175E-2</v>
      </c>
    </row>
    <row r="1492" spans="2:11" x14ac:dyDescent="0.25">
      <c r="B1492" s="5" t="str">
        <f t="shared" si="888"/>
        <v>SPS2</v>
      </c>
      <c r="C1492" s="5" t="str">
        <f t="shared" si="922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3.5370833501607003E-2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3.726366700321395E-2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3.9048512196511807E-2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4.0347931071859175E-2</v>
      </c>
    </row>
    <row r="1493" spans="2:11" x14ac:dyDescent="0.25">
      <c r="B1493" s="9" t="str">
        <f t="shared" si="888"/>
        <v>SPS2</v>
      </c>
      <c r="C1493" s="9" t="str">
        <f t="shared" si="922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888"/>
        <v>SPS2</v>
      </c>
      <c r="C1494" s="5" t="str">
        <f t="shared" si="922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28">G1492/G1490</f>
        <v>5.5669024657354786E-2</v>
      </c>
      <c r="H1494" s="1">
        <f t="shared" si="928"/>
        <v>5.3730114304652132E-2</v>
      </c>
      <c r="I1494" s="1">
        <f t="shared" si="928"/>
        <v>5.049859705014785E-2</v>
      </c>
      <c r="J1494" s="1">
        <f t="shared" si="928"/>
        <v>5.0498597050147948E-2</v>
      </c>
      <c r="K1494" s="1">
        <f t="shared" si="928"/>
        <v>5.0498597050147906E-2</v>
      </c>
    </row>
    <row r="1495" spans="2:11" x14ac:dyDescent="0.25">
      <c r="B1495" s="9" t="str">
        <f t="shared" si="888"/>
        <v>SPS2</v>
      </c>
      <c r="C1495" s="9" t="str">
        <f t="shared" si="922"/>
        <v>CH</v>
      </c>
      <c r="D1495" s="2" t="s">
        <v>1488</v>
      </c>
      <c r="E1495" s="2" t="s">
        <v>8</v>
      </c>
      <c r="F1495" s="3">
        <f>SUM(F1496,F1501,F1506)</f>
        <v>1.6656896622708663</v>
      </c>
      <c r="G1495" s="3">
        <f t="shared" ref="G1495:K1495" si="929">SUM(G1496,G1501,G1506)</f>
        <v>1.5889661796834949</v>
      </c>
      <c r="H1495" s="3">
        <f t="shared" si="929"/>
        <v>1.3053789143773817</v>
      </c>
      <c r="I1495" s="3">
        <f t="shared" si="929"/>
        <v>1.0715789678000445</v>
      </c>
      <c r="J1495" s="3">
        <f t="shared" si="929"/>
        <v>0.94605356525785256</v>
      </c>
      <c r="K1495" s="3">
        <f t="shared" si="929"/>
        <v>0.34252790190753835</v>
      </c>
    </row>
    <row r="1496" spans="2:11" x14ac:dyDescent="0.25">
      <c r="B1496" s="5" t="str">
        <f t="shared" si="888"/>
        <v>SPS2</v>
      </c>
      <c r="C1496" t="str">
        <f t="shared" ref="C1496:C1500" si="930">C1495</f>
        <v>CH</v>
      </c>
      <c r="D1496" t="s">
        <v>1489</v>
      </c>
      <c r="E1496" t="str">
        <f>E1495</f>
        <v>PJ/yr.</v>
      </c>
      <c r="F1496" s="1">
        <f>SUM(F1497:F1500)</f>
        <v>6.3563136192305095E-2</v>
      </c>
      <c r="G1496" s="1">
        <f t="shared" ref="G1496:K1496" si="931">SUM(G1497:G1500)</f>
        <v>6.4256503046542041E-2</v>
      </c>
      <c r="H1496" s="1">
        <f t="shared" si="931"/>
        <v>6.4451293066656035E-2</v>
      </c>
      <c r="I1496" s="1">
        <f t="shared" si="931"/>
        <v>4.7543811181141878E-2</v>
      </c>
      <c r="J1496" s="1">
        <f t="shared" si="931"/>
        <v>4.2971729740539973E-3</v>
      </c>
      <c r="K1496" s="1">
        <f t="shared" si="931"/>
        <v>0.12251104996779688</v>
      </c>
    </row>
    <row r="1497" spans="2:11" x14ac:dyDescent="0.25">
      <c r="B1497" t="str">
        <f t="shared" si="888"/>
        <v>SPS2</v>
      </c>
      <c r="C1497" t="str">
        <f t="shared" si="930"/>
        <v>CH</v>
      </c>
      <c r="D1497" t="s">
        <v>1490</v>
      </c>
      <c r="E1497" t="str">
        <f t="shared" ref="E1497:E1500" si="932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6.3010953696580677E-2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6.3520976460050449E-2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6.3580796393514202E-2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4.6587888089753032E-2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3.5064250216028238E-3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0.12203436931490967</v>
      </c>
    </row>
    <row r="1498" spans="2:11" x14ac:dyDescent="0.25">
      <c r="B1498" t="str">
        <f t="shared" si="888"/>
        <v>SPS2</v>
      </c>
      <c r="C1498" t="str">
        <f t="shared" si="930"/>
        <v>CH</v>
      </c>
      <c r="D1498" t="s">
        <v>1491</v>
      </c>
      <c r="E1498" t="str">
        <f t="shared" si="932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3.8602190740756972E-4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4.607060706480579E-4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4.9867593088447331E-4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4.9552676805686674E-4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2.3948326824380038E-4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1.5339254697279063E-4</v>
      </c>
    </row>
    <row r="1499" spans="2:11" x14ac:dyDescent="0.25">
      <c r="B1499" t="str">
        <f t="shared" si="888"/>
        <v>SPS2</v>
      </c>
      <c r="C1499" t="str">
        <f t="shared" si="930"/>
        <v>CH</v>
      </c>
      <c r="D1499" t="s">
        <v>1493</v>
      </c>
      <c r="E1499" t="str">
        <f t="shared" si="932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8.9446348395765129E-5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1.5297448308817575E-4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1.946054103752437E-4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2.3972385029655965E-4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2.355868774857252E-4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1.2565030523115298E-4</v>
      </c>
    </row>
    <row r="1500" spans="2:11" x14ac:dyDescent="0.25">
      <c r="B1500" t="str">
        <f t="shared" si="888"/>
        <v>SPS2</v>
      </c>
      <c r="C1500" t="str">
        <f t="shared" si="930"/>
        <v>CH</v>
      </c>
      <c r="D1500" t="s">
        <v>1492</v>
      </c>
      <c r="E1500" t="str">
        <f t="shared" si="932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7.6714239921094653E-5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1.2184603275534597E-4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1.7721533188211924E-4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2.206724730354198E-4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3.1567780672164846E-4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1.9763780068327122E-4</v>
      </c>
    </row>
    <row r="1501" spans="2:11" x14ac:dyDescent="0.25">
      <c r="B1501" s="5" t="str">
        <f t="shared" si="888"/>
        <v>SPS2</v>
      </c>
      <c r="C1501" t="str">
        <f t="shared" ref="C1501:C1505" si="933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34">SUM(G1502:G1505)</f>
        <v>0</v>
      </c>
      <c r="H1501" s="1">
        <f t="shared" si="934"/>
        <v>0</v>
      </c>
      <c r="I1501" s="1">
        <f t="shared" si="934"/>
        <v>1.6440053396656141E-4</v>
      </c>
      <c r="J1501" s="1">
        <f t="shared" si="934"/>
        <v>5.0238597722146341E-4</v>
      </c>
      <c r="K1501" s="1">
        <f t="shared" si="934"/>
        <v>3.9704576152285482E-4</v>
      </c>
    </row>
    <row r="1502" spans="2:11" x14ac:dyDescent="0.25">
      <c r="B1502" t="str">
        <f t="shared" si="888"/>
        <v>SPS2</v>
      </c>
      <c r="C1502" t="str">
        <f t="shared" si="933"/>
        <v>CH</v>
      </c>
      <c r="D1502" t="s">
        <v>1495</v>
      </c>
      <c r="E1502" t="str">
        <f t="shared" ref="E1502:E1505" si="935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5.8808719826175293E-5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1.8495727020741726E-4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1.2374395775133614E-4</v>
      </c>
    </row>
    <row r="1503" spans="2:11" x14ac:dyDescent="0.25">
      <c r="B1503" t="str">
        <f t="shared" si="888"/>
        <v>SPS2</v>
      </c>
      <c r="C1503" t="str">
        <f t="shared" si="933"/>
        <v>CH</v>
      </c>
      <c r="D1503" t="s">
        <v>1496</v>
      </c>
      <c r="E1503" t="str">
        <f t="shared" si="935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4.5962953989229069E-5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1.3533592760186551E-4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9.2153763777671043E-5</v>
      </c>
    </row>
    <row r="1504" spans="2:11" x14ac:dyDescent="0.25">
      <c r="B1504" t="str">
        <f t="shared" si="888"/>
        <v>SPS2</v>
      </c>
      <c r="C1504" t="str">
        <f t="shared" si="933"/>
        <v>CH</v>
      </c>
      <c r="D1504" t="s">
        <v>1497</v>
      </c>
      <c r="E1504" t="str">
        <f t="shared" si="935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3.8638308434898761E-5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1.1319189476400446E-4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1.035833362786183E-4</v>
      </c>
    </row>
    <row r="1505" spans="2:11" x14ac:dyDescent="0.25">
      <c r="B1505" t="str">
        <f t="shared" si="888"/>
        <v>SPS2</v>
      </c>
      <c r="C1505" t="str">
        <f t="shared" si="933"/>
        <v>CH</v>
      </c>
      <c r="D1505" t="s">
        <v>1498</v>
      </c>
      <c r="E1505" t="str">
        <f t="shared" si="935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2.0990551716258298E-5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6.890088464817616E-5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7.7564703715229336E-5</v>
      </c>
    </row>
    <row r="1506" spans="2:11" x14ac:dyDescent="0.25">
      <c r="B1506" s="5" t="str">
        <f t="shared" si="888"/>
        <v>SPS2</v>
      </c>
      <c r="C1506" t="str">
        <f t="shared" ref="C1506:C1516" si="936">C1505</f>
        <v>CH</v>
      </c>
      <c r="D1506" t="s">
        <v>1499</v>
      </c>
      <c r="E1506" t="str">
        <f>E1505</f>
        <v>PJ/yr.</v>
      </c>
      <c r="F1506" s="1">
        <f>SUM(F1511:F1515)</f>
        <v>1.6021265260785613</v>
      </c>
      <c r="G1506" s="1">
        <f t="shared" ref="G1506:K1506" si="937">SUM(G1511:G1515)</f>
        <v>1.5247096766369528</v>
      </c>
      <c r="H1506" s="1">
        <f t="shared" si="937"/>
        <v>1.2409276213107256</v>
      </c>
      <c r="I1506" s="1">
        <f t="shared" si="937"/>
        <v>1.0238707560849361</v>
      </c>
      <c r="J1506" s="1">
        <f t="shared" si="937"/>
        <v>0.94125400630657707</v>
      </c>
      <c r="K1506" s="1">
        <f t="shared" si="937"/>
        <v>0.21961980617821861</v>
      </c>
    </row>
    <row r="1507" spans="2:11" x14ac:dyDescent="0.25">
      <c r="B1507" s="5" t="str">
        <f t="shared" si="888"/>
        <v>SPS2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1.5144261246526383</v>
      </c>
      <c r="G1507" s="1">
        <f t="shared" ref="G1507:K1507" si="938">G1506-G1508</f>
        <v>1.441244485321088</v>
      </c>
      <c r="H1507" s="1">
        <f t="shared" si="938"/>
        <v>1.1729947245587986</v>
      </c>
      <c r="I1507" s="1">
        <f t="shared" si="938"/>
        <v>0.9463574333719692</v>
      </c>
      <c r="J1507" s="1">
        <f t="shared" si="938"/>
        <v>0.71317207184290199</v>
      </c>
      <c r="K1507" s="1">
        <f t="shared" si="938"/>
        <v>-2.6708126771089191E-3</v>
      </c>
    </row>
    <row r="1508" spans="2:11" x14ac:dyDescent="0.25">
      <c r="B1508" s="5" t="str">
        <f t="shared" si="888"/>
        <v>SPS2</v>
      </c>
      <c r="C1508" s="5" t="str">
        <f t="shared" ref="C1508:C1510" si="939">C1507</f>
        <v>CH</v>
      </c>
      <c r="D1508" t="s">
        <v>1501</v>
      </c>
      <c r="E1508" t="str">
        <f>E1507</f>
        <v>PJ/yr.</v>
      </c>
      <c r="F1508" s="1">
        <f>SUM(F1509:F1510)</f>
        <v>8.7700401425923155E-2</v>
      </c>
      <c r="G1508" s="1">
        <f t="shared" ref="G1508" si="940">SUM(G1509:G1510)</f>
        <v>8.3465191315864884E-2</v>
      </c>
      <c r="H1508" s="1">
        <f t="shared" ref="H1508" si="941">SUM(H1509:H1510)</f>
        <v>6.7932896751927041E-2</v>
      </c>
      <c r="I1508" s="1">
        <f t="shared" ref="I1508" si="942">SUM(I1509:I1510)</f>
        <v>7.751332271296682E-2</v>
      </c>
      <c r="J1508" s="1">
        <f t="shared" ref="J1508" si="943">SUM(J1509:J1510)</f>
        <v>0.22808193446367503</v>
      </c>
      <c r="K1508" s="1">
        <f t="shared" ref="K1508" si="944">SUM(K1509:K1510)</f>
        <v>0.22229061885532753</v>
      </c>
    </row>
    <row r="1509" spans="2:11" x14ac:dyDescent="0.25">
      <c r="B1509" s="5" t="str">
        <f t="shared" si="888"/>
        <v>SPS2</v>
      </c>
      <c r="C1509" s="5" t="str">
        <f t="shared" si="93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8.7700401425923155E-2</v>
      </c>
      <c r="G1509" s="1">
        <f>[1]Transport!C$25/SUM([1]Transport!C$21,[1]Transport!C$25)*G1506*(G$34+G$598)/(G$34+G$598+G$37)</f>
        <v>8.3465191315864884E-2</v>
      </c>
      <c r="H1509" s="1">
        <f>[1]Transport!D$25/SUM([1]Transport!D$21,[1]Transport!D$25)*H1506*(H$34+H$598)/(H$34+H$598+H$37)</f>
        <v>6.7932896751927041E-2</v>
      </c>
      <c r="I1509" s="1">
        <f>[1]Transport!E$25/SUM([1]Transport!E$21,[1]Transport!E$25)*I1506*(I$34+I$598)/(I$34+I$598+I$37)</f>
        <v>7.751332271296682E-2</v>
      </c>
      <c r="J1509" s="1">
        <f>[1]Transport!F$25/SUM([1]Transport!F$21,[1]Transport!F$25)*J1506*(J$34+J$598)/(J$34+J$598+J$37)</f>
        <v>0.10147342548670528</v>
      </c>
      <c r="K1509" s="1">
        <f>[1]Transport!G$25/SUM([1]Transport!G$21,[1]Transport!G$25)*K1506*(K$34+K$598)/(K$34+K$598+K$37)</f>
        <v>4.0557137555388749E-2</v>
      </c>
    </row>
    <row r="1510" spans="2:11" x14ac:dyDescent="0.25">
      <c r="B1510" s="5" t="str">
        <f t="shared" si="888"/>
        <v>SPS2</v>
      </c>
      <c r="C1510" s="5" t="str">
        <f t="shared" si="93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0.12660850897696976</v>
      </c>
      <c r="K1510" s="1">
        <f>(K$37+K$717)/([1]Transport!G$21+[1]Transport!G$25)*K1506</f>
        <v>0.18173348129993877</v>
      </c>
    </row>
    <row r="1511" spans="2:11" x14ac:dyDescent="0.25">
      <c r="B1511" t="str">
        <f t="shared" si="888"/>
        <v>SPS2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1.5006027240068447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1.4032570475024939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0.95188672269490138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0.45306295842219013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 t="shared" si="888"/>
        <v>SPS2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7.317106176370841E-3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1.6158247793228435E-2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0.19147926826114331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0.48814070855435254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0.9231930771352973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0.21851125226083765</v>
      </c>
    </row>
    <row r="1513" spans="2:11" x14ac:dyDescent="0.25">
      <c r="B1513" t="str">
        <f t="shared" si="888"/>
        <v>SPS2</v>
      </c>
      <c r="C1513" t="str">
        <f t="shared" si="936"/>
        <v>CH</v>
      </c>
      <c r="D1513" t="s">
        <v>1580</v>
      </c>
      <c r="E1513" t="str">
        <f t="shared" ref="E1513:E1515" si="945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2.2138872254662947E-2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8.116774474126924E-2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7.2871390404908254E-2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5.8542319995415211E-2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5.0352660759579585E-4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2.3539005289245204E-4</v>
      </c>
    </row>
    <row r="1514" spans="2:11" x14ac:dyDescent="0.25">
      <c r="B1514" t="str">
        <f t="shared" si="888"/>
        <v>SPS2</v>
      </c>
      <c r="C1514" t="str">
        <f t="shared" si="936"/>
        <v>CH</v>
      </c>
      <c r="D1514" t="s">
        <v>1581</v>
      </c>
      <c r="E1514" t="str">
        <f t="shared" si="945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4.5122348650874548E-2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1.392671913121216E-2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1.4186037274755987E-2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1.392440768200659E-2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7.1980329955457726E-3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2.453601131075199E-4</v>
      </c>
    </row>
    <row r="1515" spans="2:11" x14ac:dyDescent="0.25">
      <c r="B1515" t="str">
        <f t="shared" si="888"/>
        <v>SPS2</v>
      </c>
      <c r="C1515" t="str">
        <f t="shared" si="936"/>
        <v>CH</v>
      </c>
      <c r="D1515" t="s">
        <v>1582</v>
      </c>
      <c r="E1515" t="str">
        <f t="shared" si="945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2.6945474989808482E-2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1.0199917468748815E-2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1.0504202675016693E-2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1.0200361430971527E-2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1.0359369568138202E-2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6.278037513809849E-4</v>
      </c>
    </row>
    <row r="1516" spans="2:11" x14ac:dyDescent="0.25">
      <c r="B1516" s="9" t="str">
        <f t="shared" si="888"/>
        <v>SPS2</v>
      </c>
      <c r="C1516" s="9" t="str">
        <f t="shared" si="936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 t="shared" si="888"/>
        <v>SPS2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0.69935397606207439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0.70503009423740082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0.70570394656959967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0.51715346570198506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4.0722106364881355E-2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1.4535431951585975</v>
      </c>
    </row>
    <row r="1518" spans="2:11" x14ac:dyDescent="0.25">
      <c r="B1518" t="str">
        <f t="shared" si="888"/>
        <v>SPS2</v>
      </c>
      <c r="C1518" t="str">
        <f t="shared" ref="C1518:C1543" si="946">C1517</f>
        <v>CH</v>
      </c>
      <c r="D1518" t="s">
        <v>1506</v>
      </c>
      <c r="E1518" t="str">
        <f t="shared" ref="E1518:E1529" si="947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2.425964081729899E-3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2.8969630278419529E-3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3.1399862164355938E-3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3.1308964954111038E-3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1.5657312784241432E-3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1.0182007106915626E-3</v>
      </c>
    </row>
    <row r="1519" spans="2:11" x14ac:dyDescent="0.25">
      <c r="B1519" t="str">
        <f t="shared" si="888"/>
        <v>SPS2</v>
      </c>
      <c r="C1519" t="str">
        <f t="shared" si="946"/>
        <v>CH</v>
      </c>
      <c r="D1519" t="s">
        <v>1507</v>
      </c>
      <c r="E1519" t="str">
        <f t="shared" si="947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3.6584838023575569E-4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6.2687706041899465E-4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7.9995054263042617E-4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9.902485089874609E-4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9.9142425659516273E-4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5.442436010509432E-4</v>
      </c>
    </row>
    <row r="1520" spans="2:11" x14ac:dyDescent="0.25">
      <c r="B1520" t="str">
        <f t="shared" si="888"/>
        <v>SPS2</v>
      </c>
      <c r="C1520" t="str">
        <f t="shared" si="946"/>
        <v>CH</v>
      </c>
      <c r="D1520" t="s">
        <v>1508</v>
      </c>
      <c r="E1520" t="str">
        <f t="shared" si="947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2.8883321620754959E-4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4.5984182868783586E-4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6.7195630221586423E-4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8.4133166966502923E-4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1.2204165036619936E-3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7.8267966720643918E-4</v>
      </c>
    </row>
    <row r="1521" spans="2:11" x14ac:dyDescent="0.25">
      <c r="B1521" t="str">
        <f t="shared" si="888"/>
        <v>SPS2</v>
      </c>
      <c r="C1521" t="str">
        <f t="shared" si="946"/>
        <v>CH</v>
      </c>
      <c r="D1521" t="s">
        <v>1509</v>
      </c>
      <c r="E1521" t="str">
        <f t="shared" si="947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2.728205876760806E-4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8.7738648402082274E-4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6.0142897600881737E-4</v>
      </c>
    </row>
    <row r="1522" spans="2:11" x14ac:dyDescent="0.25">
      <c r="B1522" t="str">
        <f t="shared" si="888"/>
        <v>SPS2</v>
      </c>
      <c r="C1522" t="str">
        <f t="shared" si="946"/>
        <v>CH</v>
      </c>
      <c r="D1522" t="s">
        <v>1510</v>
      </c>
      <c r="E1522" t="str">
        <f t="shared" si="947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1.2414073806259735E-4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3.7212002694515627E-4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2.5864139226087953E-4</v>
      </c>
    </row>
    <row r="1523" spans="2:11" x14ac:dyDescent="0.25">
      <c r="B1523" t="str">
        <f t="shared" si="888"/>
        <v>SPS2</v>
      </c>
      <c r="C1523" t="str">
        <f t="shared" si="946"/>
        <v>CH</v>
      </c>
      <c r="D1523" t="s">
        <v>1511</v>
      </c>
      <c r="E1523" t="str">
        <f t="shared" si="947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6.8028481147456614E-5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2.0232664579191933E-4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1.885908902356182E-4</v>
      </c>
    </row>
    <row r="1524" spans="2:11" x14ac:dyDescent="0.25">
      <c r="B1524" t="str">
        <f t="shared" ref="B1524:B1587" si="948">B1523</f>
        <v>SPS2</v>
      </c>
      <c r="C1524" t="str">
        <f t="shared" si="946"/>
        <v>CH</v>
      </c>
      <c r="D1524" t="s">
        <v>1512</v>
      </c>
      <c r="E1524" t="str">
        <f t="shared" si="947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3.2788106141860748E-5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1.0961490233735349E-4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1.2533445361080327E-4</v>
      </c>
    </row>
    <row r="1525" spans="2:11" x14ac:dyDescent="0.25">
      <c r="B1525" t="str">
        <f t="shared" si="948"/>
        <v>SPS2</v>
      </c>
      <c r="C1525" t="str">
        <f t="shared" si="946"/>
        <v>CH</v>
      </c>
      <c r="D1525" t="s">
        <v>1513</v>
      </c>
      <c r="E1525" t="str">
        <f t="shared" si="947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1.1572124577408995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1.1046977345907349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0.77231154755460774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0.38579725755201966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48"/>
        <v>SPS2</v>
      </c>
      <c r="C1526" t="str">
        <f t="shared" si="946"/>
        <v>CH</v>
      </c>
      <c r="D1526" t="s">
        <v>1514</v>
      </c>
      <c r="E1526" t="str">
        <f t="shared" si="947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1.3960187117829129E-2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3.0882876478559404E-2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0.37321562759435045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0.96845355298272251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1.9038726258522249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0.45347163810331154</v>
      </c>
    </row>
    <row r="1527" spans="2:11" x14ac:dyDescent="0.25">
      <c r="B1527" t="str">
        <f t="shared" si="948"/>
        <v>SPS2</v>
      </c>
      <c r="C1527" t="str">
        <f t="shared" si="946"/>
        <v>CH</v>
      </c>
      <c r="D1527" t="s">
        <v>1515</v>
      </c>
      <c r="E1527" t="str">
        <f t="shared" si="947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2.4413928846491746E-2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8.9758364733297805E-2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8.0591618592897651E-2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6.4752466060470304E-2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5.9446733564008072E-4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2.850589931907938E-4</v>
      </c>
    </row>
    <row r="1528" spans="2:11" x14ac:dyDescent="0.25">
      <c r="B1528" t="str">
        <f t="shared" si="948"/>
        <v>SPS2</v>
      </c>
      <c r="C1528" t="str">
        <f t="shared" si="946"/>
        <v>CH</v>
      </c>
      <c r="D1528" t="s">
        <v>1516</v>
      </c>
      <c r="E1528" t="str">
        <f t="shared" si="947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3.291345852660453E-2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1.0196727791423763E-2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1.0388561850581454E-2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1.0201278876082917E-2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5.2881379248350992E-3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1.9447895005704068E-4</v>
      </c>
    </row>
    <row r="1529" spans="2:11" x14ac:dyDescent="0.25">
      <c r="B1529" t="str">
        <f t="shared" si="948"/>
        <v>SPS2</v>
      </c>
      <c r="C1529" t="str">
        <f t="shared" si="946"/>
        <v>CH</v>
      </c>
      <c r="D1529" t="s">
        <v>1517</v>
      </c>
      <c r="E1529" t="str">
        <f t="shared" si="947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1.8209796869250013E-2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6.9116287001996573E-3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7.118989051315955E-3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6.9151868949106944E-3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7.0292193528371716E-3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4.3629342030364273E-4</v>
      </c>
    </row>
    <row r="1530" spans="2:11" x14ac:dyDescent="0.25">
      <c r="B1530" s="9" t="str">
        <f t="shared" si="948"/>
        <v>SPS2</v>
      </c>
      <c r="C1530" s="9" t="str">
        <f t="shared" si="946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48"/>
        <v>SPS2</v>
      </c>
      <c r="C1531" t="str">
        <f t="shared" si="946"/>
        <v>CH</v>
      </c>
      <c r="D1531" t="s">
        <v>1520</v>
      </c>
      <c r="E1531" t="s">
        <v>1230</v>
      </c>
      <c r="F1531" s="1">
        <f t="shared" ref="F1531:K1534" si="949">IFERROR(F1517/F1497,"-")</f>
        <v>11.098927012431892</v>
      </c>
      <c r="G1531" s="1">
        <f t="shared" si="949"/>
        <v>11.099169652733655</v>
      </c>
      <c r="H1531" s="1">
        <f t="shared" si="949"/>
        <v>11.09932537179713</v>
      </c>
      <c r="I1531" s="1">
        <f t="shared" si="949"/>
        <v>11.100599037794387</v>
      </c>
      <c r="J1531" s="1">
        <f t="shared" si="949"/>
        <v>11.613568267963949</v>
      </c>
      <c r="K1531" s="1">
        <f t="shared" si="949"/>
        <v>11.910932988130003</v>
      </c>
    </row>
    <row r="1532" spans="2:11" x14ac:dyDescent="0.25">
      <c r="B1532" t="str">
        <f t="shared" si="948"/>
        <v>SPS2</v>
      </c>
      <c r="C1532" t="str">
        <f t="shared" si="946"/>
        <v>CH</v>
      </c>
      <c r="D1532" t="s">
        <v>1521</v>
      </c>
      <c r="E1532" t="s">
        <v>1230</v>
      </c>
      <c r="F1532" s="1">
        <f t="shared" si="949"/>
        <v>6.2845243629360059</v>
      </c>
      <c r="G1532" s="1">
        <f t="shared" si="949"/>
        <v>6.2880938898133119</v>
      </c>
      <c r="H1532" s="1">
        <f t="shared" si="949"/>
        <v>6.2966468240534041</v>
      </c>
      <c r="I1532" s="1">
        <f t="shared" si="949"/>
        <v>6.3183196090262506</v>
      </c>
      <c r="J1532" s="1">
        <f t="shared" si="949"/>
        <v>6.537956868160772</v>
      </c>
      <c r="K1532" s="1">
        <f t="shared" si="949"/>
        <v>6.6378760297407089</v>
      </c>
    </row>
    <row r="1533" spans="2:11" x14ac:dyDescent="0.25">
      <c r="B1533" t="str">
        <f t="shared" si="948"/>
        <v>SPS2</v>
      </c>
      <c r="C1533" t="str">
        <f t="shared" si="946"/>
        <v>CH</v>
      </c>
      <c r="D1533" t="s">
        <v>1522</v>
      </c>
      <c r="E1533" t="s">
        <v>1230</v>
      </c>
      <c r="F1533" s="1">
        <f t="shared" si="949"/>
        <v>4.0901432735634957</v>
      </c>
      <c r="G1533" s="1">
        <f t="shared" si="949"/>
        <v>4.0979191284971206</v>
      </c>
      <c r="H1533" s="1">
        <f t="shared" si="949"/>
        <v>4.1106284819519594</v>
      </c>
      <c r="I1533" s="1">
        <f t="shared" si="949"/>
        <v>4.1307884374559967</v>
      </c>
      <c r="J1533" s="1">
        <f t="shared" si="949"/>
        <v>4.2083169791799442</v>
      </c>
      <c r="K1533" s="1">
        <f t="shared" si="949"/>
        <v>4.3314148743986234</v>
      </c>
    </row>
    <row r="1534" spans="2:11" x14ac:dyDescent="0.25">
      <c r="B1534" t="str">
        <f t="shared" si="948"/>
        <v>SPS2</v>
      </c>
      <c r="C1534" t="str">
        <f t="shared" si="946"/>
        <v>CH</v>
      </c>
      <c r="D1534" t="s">
        <v>1523</v>
      </c>
      <c r="E1534" t="s">
        <v>1230</v>
      </c>
      <c r="F1534" s="1">
        <f t="shared" si="949"/>
        <v>3.7650534829600404</v>
      </c>
      <c r="G1534" s="1">
        <f t="shared" si="949"/>
        <v>3.773958152672479</v>
      </c>
      <c r="H1534" s="1">
        <f t="shared" si="949"/>
        <v>3.7917503811850697</v>
      </c>
      <c r="I1534" s="1">
        <f t="shared" si="949"/>
        <v>3.8125809626014768</v>
      </c>
      <c r="J1534" s="1">
        <f t="shared" si="949"/>
        <v>3.8660193326105627</v>
      </c>
      <c r="K1534" s="1">
        <f t="shared" si="949"/>
        <v>3.9601719129668904</v>
      </c>
    </row>
    <row r="1535" spans="2:11" x14ac:dyDescent="0.25">
      <c r="B1535" t="str">
        <f t="shared" si="948"/>
        <v>SPS2</v>
      </c>
      <c r="C1535" t="str">
        <f t="shared" si="946"/>
        <v>CH</v>
      </c>
      <c r="D1535" t="s">
        <v>1524</v>
      </c>
      <c r="E1535" t="s">
        <v>1230</v>
      </c>
      <c r="F1535" s="1" t="str">
        <f t="shared" ref="F1535:K1538" si="950">IFERROR(F1521/F1502,"-")</f>
        <v>-</v>
      </c>
      <c r="G1535" s="1" t="str">
        <f t="shared" si="950"/>
        <v>-</v>
      </c>
      <c r="H1535" s="1" t="str">
        <f t="shared" si="950"/>
        <v>-</v>
      </c>
      <c r="I1535" s="1">
        <f t="shared" si="950"/>
        <v>4.6391179485367804</v>
      </c>
      <c r="J1535" s="1">
        <f t="shared" si="950"/>
        <v>4.7437253103751598</v>
      </c>
      <c r="K1535" s="1">
        <f t="shared" si="950"/>
        <v>4.8602694381037237</v>
      </c>
    </row>
    <row r="1536" spans="2:11" x14ac:dyDescent="0.25">
      <c r="B1536" t="str">
        <f t="shared" si="948"/>
        <v>SPS2</v>
      </c>
      <c r="C1536" t="str">
        <f t="shared" si="946"/>
        <v>CH</v>
      </c>
      <c r="D1536" t="s">
        <v>1525</v>
      </c>
      <c r="E1536" t="s">
        <v>1230</v>
      </c>
      <c r="F1536" s="1" t="str">
        <f t="shared" si="950"/>
        <v>-</v>
      </c>
      <c r="G1536" s="1" t="str">
        <f t="shared" si="950"/>
        <v>-</v>
      </c>
      <c r="H1536" s="1" t="str">
        <f t="shared" si="950"/>
        <v>-</v>
      </c>
      <c r="I1536" s="1">
        <f t="shared" si="950"/>
        <v>2.7008868509993595</v>
      </c>
      <c r="J1536" s="1">
        <f t="shared" si="950"/>
        <v>2.7496026630849122</v>
      </c>
      <c r="K1536" s="1">
        <f t="shared" si="950"/>
        <v>2.8066286352109757</v>
      </c>
    </row>
    <row r="1537" spans="2:11" x14ac:dyDescent="0.25">
      <c r="B1537" t="str">
        <f t="shared" si="948"/>
        <v>SPS2</v>
      </c>
      <c r="C1537" t="str">
        <f t="shared" si="946"/>
        <v>CH</v>
      </c>
      <c r="D1537" t="s">
        <v>1526</v>
      </c>
      <c r="E1537" t="s">
        <v>1230</v>
      </c>
      <c r="F1537" s="1" t="str">
        <f t="shared" si="950"/>
        <v>-</v>
      </c>
      <c r="G1537" s="1" t="str">
        <f t="shared" si="950"/>
        <v>-</v>
      </c>
      <c r="H1537" s="1" t="str">
        <f t="shared" si="950"/>
        <v>-</v>
      </c>
      <c r="I1537" s="1">
        <f t="shared" si="950"/>
        <v>1.7606485351727292</v>
      </c>
      <c r="J1537" s="1">
        <f t="shared" si="950"/>
        <v>1.7874658447387359</v>
      </c>
      <c r="K1537" s="1">
        <f t="shared" si="950"/>
        <v>1.8206682369097158</v>
      </c>
    </row>
    <row r="1538" spans="2:11" x14ac:dyDescent="0.25">
      <c r="B1538" t="str">
        <f t="shared" si="948"/>
        <v>SPS2</v>
      </c>
      <c r="C1538" t="str">
        <f t="shared" si="946"/>
        <v>CH</v>
      </c>
      <c r="D1538" t="s">
        <v>1527</v>
      </c>
      <c r="E1538" t="s">
        <v>1230</v>
      </c>
      <c r="F1538" s="1" t="str">
        <f t="shared" si="950"/>
        <v>-</v>
      </c>
      <c r="G1538" s="1" t="str">
        <f t="shared" si="950"/>
        <v>-</v>
      </c>
      <c r="H1538" s="1" t="str">
        <f t="shared" si="950"/>
        <v>-</v>
      </c>
      <c r="I1538" s="1">
        <f t="shared" si="950"/>
        <v>1.5620411785777224</v>
      </c>
      <c r="J1538" s="1">
        <f t="shared" si="950"/>
        <v>1.5909070383794419</v>
      </c>
      <c r="K1538" s="1">
        <f t="shared" si="950"/>
        <v>1.6158696882406147</v>
      </c>
    </row>
    <row r="1539" spans="2:11" x14ac:dyDescent="0.25">
      <c r="B1539" t="str">
        <f t="shared" si="948"/>
        <v>SPS2</v>
      </c>
      <c r="C1539" t="str">
        <f t="shared" si="946"/>
        <v>CH</v>
      </c>
      <c r="D1539" t="s">
        <v>1583</v>
      </c>
      <c r="E1539" t="s">
        <v>1230</v>
      </c>
      <c r="F1539" s="1">
        <f t="shared" ref="F1539:K1543" si="951">IFERROR(F1525/F1511,"-")</f>
        <v>0.77116510534577787</v>
      </c>
      <c r="G1539" s="1">
        <f t="shared" si="951"/>
        <v>0.78723832996731957</v>
      </c>
      <c r="H1539" s="1">
        <f t="shared" si="951"/>
        <v>0.81134816689963318</v>
      </c>
      <c r="I1539" s="1">
        <f t="shared" si="951"/>
        <v>0.85153122845348916</v>
      </c>
      <c r="J1539" s="1" t="str">
        <f t="shared" si="951"/>
        <v>-</v>
      </c>
      <c r="K1539" s="1" t="str">
        <f t="shared" si="951"/>
        <v>-</v>
      </c>
    </row>
    <row r="1540" spans="2:11" x14ac:dyDescent="0.25">
      <c r="B1540" t="str">
        <f t="shared" si="948"/>
        <v>SPS2</v>
      </c>
      <c r="C1540" t="str">
        <f t="shared" si="946"/>
        <v>CH</v>
      </c>
      <c r="D1540" t="s">
        <v>1584</v>
      </c>
      <c r="E1540" t="s">
        <v>1230</v>
      </c>
      <c r="F1540" s="1">
        <f t="shared" si="951"/>
        <v>1.9078836334110902</v>
      </c>
      <c r="G1540" s="1">
        <f t="shared" si="951"/>
        <v>1.9112763261064567</v>
      </c>
      <c r="H1540" s="1">
        <f t="shared" si="951"/>
        <v>1.9491176824707279</v>
      </c>
      <c r="I1540" s="1">
        <f t="shared" si="951"/>
        <v>1.9839639186226343</v>
      </c>
      <c r="J1540" s="1">
        <f t="shared" si="951"/>
        <v>2.0622691753278879</v>
      </c>
      <c r="K1540" s="1">
        <f t="shared" si="951"/>
        <v>2.0752781992297624</v>
      </c>
    </row>
    <row r="1541" spans="2:11" x14ac:dyDescent="0.25">
      <c r="B1541" t="str">
        <f t="shared" si="948"/>
        <v>SPS2</v>
      </c>
      <c r="C1541" t="str">
        <f t="shared" si="946"/>
        <v>CH</v>
      </c>
      <c r="D1541" t="s">
        <v>1585</v>
      </c>
      <c r="E1541" t="s">
        <v>1230</v>
      </c>
      <c r="F1541" s="1">
        <f t="shared" si="951"/>
        <v>1.1027629847473202</v>
      </c>
      <c r="G1541" s="1">
        <f t="shared" si="951"/>
        <v>1.1058378549189962</v>
      </c>
      <c r="H1541" s="1">
        <f t="shared" si="951"/>
        <v>1.1059431986283248</v>
      </c>
      <c r="I1541" s="1">
        <f t="shared" si="951"/>
        <v>1.1060796030212237</v>
      </c>
      <c r="J1541" s="1">
        <f t="shared" si="951"/>
        <v>1.1806075918778203</v>
      </c>
      <c r="K1541" s="1">
        <f t="shared" si="951"/>
        <v>1.2110069634974556</v>
      </c>
    </row>
    <row r="1542" spans="2:11" x14ac:dyDescent="0.25">
      <c r="B1542" t="str">
        <f t="shared" si="948"/>
        <v>SPS2</v>
      </c>
      <c r="C1542" t="str">
        <f t="shared" si="946"/>
        <v>CH</v>
      </c>
      <c r="D1542" t="s">
        <v>1586</v>
      </c>
      <c r="E1542" t="s">
        <v>1230</v>
      </c>
      <c r="F1542" s="1">
        <f t="shared" si="951"/>
        <v>0.72942698043636989</v>
      </c>
      <c r="G1542" s="1">
        <f t="shared" si="951"/>
        <v>0.73217013248807117</v>
      </c>
      <c r="H1542" s="1">
        <f t="shared" si="951"/>
        <v>0.73230893514342232</v>
      </c>
      <c r="I1542" s="1">
        <f t="shared" si="951"/>
        <v>0.73261851484463669</v>
      </c>
      <c r="J1542" s="1">
        <f t="shared" si="951"/>
        <v>0.73466430733333132</v>
      </c>
      <c r="K1542" s="1">
        <f t="shared" si="951"/>
        <v>0.79262659115182887</v>
      </c>
    </row>
    <row r="1543" spans="2:11" x14ac:dyDescent="0.25">
      <c r="B1543" t="str">
        <f t="shared" si="948"/>
        <v>SPS2</v>
      </c>
      <c r="C1543" t="str">
        <f t="shared" si="946"/>
        <v>CH</v>
      </c>
      <c r="D1543" t="s">
        <v>1587</v>
      </c>
      <c r="E1543" t="s">
        <v>1230</v>
      </c>
      <c r="F1543" s="1">
        <f t="shared" si="951"/>
        <v>0.67580166525687368</v>
      </c>
      <c r="G1543" s="1">
        <f t="shared" si="951"/>
        <v>0.67761613967720469</v>
      </c>
      <c r="H1543" s="1">
        <f t="shared" si="951"/>
        <v>0.67772769353049844</v>
      </c>
      <c r="I1543" s="1">
        <f t="shared" si="951"/>
        <v>0.67793547725808978</v>
      </c>
      <c r="J1543" s="1">
        <f t="shared" si="951"/>
        <v>0.6785373672213213</v>
      </c>
      <c r="K1543" s="1">
        <f t="shared" si="951"/>
        <v>0.6949519166521777</v>
      </c>
    </row>
    <row r="1544" spans="2:11" x14ac:dyDescent="0.25">
      <c r="B1544" s="2" t="str">
        <f t="shared" si="948"/>
        <v>SPS2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16.897997253684483</v>
      </c>
      <c r="G1544" s="3">
        <f t="shared" ref="G1544:K1544" si="952">G1545+G1548+G1550+G1557+G1565</f>
        <v>15.533481450941393</v>
      </c>
      <c r="H1544" s="3">
        <f t="shared" si="952"/>
        <v>13.859525343879902</v>
      </c>
      <c r="I1544" s="3">
        <f t="shared" si="952"/>
        <v>10.822009734943842</v>
      </c>
      <c r="J1544" s="3">
        <f t="shared" si="952"/>
        <v>7.8747095273504932</v>
      </c>
      <c r="K1544" s="3">
        <f t="shared" si="952"/>
        <v>8.0335675620628102</v>
      </c>
    </row>
    <row r="1545" spans="2:11" x14ac:dyDescent="0.25">
      <c r="B1545" t="str">
        <f t="shared" si="948"/>
        <v>SPS2</v>
      </c>
      <c r="C1545" t="str">
        <f t="shared" ref="C1545:C1590" si="953">C1544</f>
        <v>CH</v>
      </c>
      <c r="D1545" t="s">
        <v>1537</v>
      </c>
      <c r="E1545" t="str">
        <f>E1544</f>
        <v>PJ/yr.</v>
      </c>
      <c r="F1545" s="1">
        <f>SUM(F1546:F1547)</f>
        <v>2.496693324159388E-2</v>
      </c>
      <c r="G1545" s="1">
        <f t="shared" ref="G1545:K1545" si="954">SUM(G1546:G1547)</f>
        <v>7.9023866669706316E-2</v>
      </c>
      <c r="H1545" s="1">
        <f t="shared" si="954"/>
        <v>0.1395060113499702</v>
      </c>
      <c r="I1545" s="1">
        <f t="shared" si="954"/>
        <v>2.4725164841855873</v>
      </c>
      <c r="J1545" s="1">
        <f t="shared" si="954"/>
        <v>6.5774079890906201</v>
      </c>
      <c r="K1545" s="1">
        <f t="shared" si="954"/>
        <v>7.7059290124720414</v>
      </c>
    </row>
    <row r="1546" spans="2:11" x14ac:dyDescent="0.25">
      <c r="B1546" t="str">
        <f t="shared" si="948"/>
        <v>SPS2</v>
      </c>
      <c r="C1546" t="str">
        <f t="shared" si="953"/>
        <v>CH</v>
      </c>
      <c r="D1546" t="s">
        <v>1544</v>
      </c>
      <c r="E1546" t="str">
        <f t="shared" ref="E1546:E1570" si="955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1.4215865851889022E-2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1.2232601245128644E-2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2.6361651471461293E-2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1.3185941678262607E-2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948"/>
        <v>SPS2</v>
      </c>
      <c r="C1547" t="str">
        <f t="shared" si="953"/>
        <v>CH</v>
      </c>
      <c r="D1547" t="s">
        <v>1545</v>
      </c>
      <c r="E1547" t="str">
        <f t="shared" si="955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1.0751067389704858E-2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6.6791265424577667E-2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0.11314435987850892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2.4593305425073249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6.5774079890906201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7.7059290124720414</v>
      </c>
    </row>
    <row r="1548" spans="2:11" x14ac:dyDescent="0.25">
      <c r="B1548" t="str">
        <f t="shared" si="948"/>
        <v>SPS2</v>
      </c>
      <c r="C1548" t="str">
        <f t="shared" si="953"/>
        <v>CH</v>
      </c>
      <c r="D1548" t="s">
        <v>1538</v>
      </c>
      <c r="E1548" t="str">
        <f t="shared" si="955"/>
        <v>PJ/yr.</v>
      </c>
      <c r="F1548" s="1">
        <f>F1549</f>
        <v>0</v>
      </c>
      <c r="G1548" s="1">
        <f t="shared" ref="G1548:K1548" si="956">G1549</f>
        <v>3.2184640327470517E-4</v>
      </c>
      <c r="H1548" s="1">
        <f t="shared" si="956"/>
        <v>4.4943150677763854E-4</v>
      </c>
      <c r="I1548" s="1">
        <f t="shared" si="956"/>
        <v>6.5871928117850679E-4</v>
      </c>
      <c r="J1548" s="1">
        <f t="shared" si="956"/>
        <v>8.8496266313502284E-2</v>
      </c>
      <c r="K1548" s="1">
        <f t="shared" si="956"/>
        <v>0.15805792506170974</v>
      </c>
    </row>
    <row r="1549" spans="2:11" x14ac:dyDescent="0.25">
      <c r="B1549" t="str">
        <f t="shared" si="948"/>
        <v>SPS2</v>
      </c>
      <c r="C1549" t="str">
        <f t="shared" si="953"/>
        <v>CH</v>
      </c>
      <c r="D1549" t="s">
        <v>1546</v>
      </c>
      <c r="E1549" t="str">
        <f t="shared" si="955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3.2184640327470517E-4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4.4943150677763854E-4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6.5871928117850679E-4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8.8496266313502284E-2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0.15805792506170974</v>
      </c>
    </row>
    <row r="1550" spans="2:11" x14ac:dyDescent="0.25">
      <c r="B1550" t="str">
        <f t="shared" si="948"/>
        <v>SPS2</v>
      </c>
      <c r="C1550" t="str">
        <f t="shared" si="953"/>
        <v>CH</v>
      </c>
      <c r="D1550" t="s">
        <v>1539</v>
      </c>
      <c r="E1550" t="str">
        <f t="shared" si="955"/>
        <v>PJ/yr.</v>
      </c>
      <c r="F1550" s="1">
        <f>SUM(F1555:F1556)</f>
        <v>0.8816307353039613</v>
      </c>
      <c r="G1550" s="1">
        <f t="shared" ref="G1550:K1550" si="957">SUM(G1555:G1556)</f>
        <v>1.9818955164608412</v>
      </c>
      <c r="H1550" s="1">
        <f t="shared" si="957"/>
        <v>0.9830758394069895</v>
      </c>
      <c r="I1550" s="1">
        <f t="shared" si="957"/>
        <v>1.2773294616209996</v>
      </c>
      <c r="J1550" s="1">
        <f t="shared" si="957"/>
        <v>0.93653321865719574</v>
      </c>
      <c r="K1550" s="1">
        <f t="shared" si="957"/>
        <v>0.14512111267284178</v>
      </c>
    </row>
    <row r="1551" spans="2:11" x14ac:dyDescent="0.25">
      <c r="B1551" t="str">
        <f t="shared" si="948"/>
        <v>SPS2</v>
      </c>
      <c r="C1551" t="str">
        <f t="shared" si="953"/>
        <v>CH</v>
      </c>
      <c r="D1551" t="s">
        <v>1540</v>
      </c>
      <c r="E1551" t="str">
        <f t="shared" si="955"/>
        <v>PJ/yr.</v>
      </c>
      <c r="F1551" s="1">
        <f>F1550-F1552</f>
        <v>0.83337027139113939</v>
      </c>
      <c r="G1551" s="1">
        <f t="shared" ref="G1551:K1551" si="958">G1550-G1552</f>
        <v>1.8734031975727472</v>
      </c>
      <c r="H1551" s="1">
        <f t="shared" si="958"/>
        <v>0.92925868814782941</v>
      </c>
      <c r="I1551" s="1">
        <f t="shared" si="958"/>
        <v>1.1806277537335685</v>
      </c>
      <c r="J1551" s="1">
        <f t="shared" si="958"/>
        <v>0.7095952117327915</v>
      </c>
      <c r="K1551" s="1">
        <f t="shared" si="958"/>
        <v>-1.7648285652717977E-3</v>
      </c>
    </row>
    <row r="1552" spans="2:11" x14ac:dyDescent="0.25">
      <c r="B1552" t="str">
        <f t="shared" si="948"/>
        <v>SPS2</v>
      </c>
      <c r="C1552" t="str">
        <f t="shared" si="953"/>
        <v>CH</v>
      </c>
      <c r="D1552" t="s">
        <v>1541</v>
      </c>
      <c r="E1552" t="str">
        <f t="shared" si="955"/>
        <v>PJ/yr.</v>
      </c>
      <c r="F1552" s="1">
        <f>SUM(F1553:F1554)</f>
        <v>4.8260463912821953E-2</v>
      </c>
      <c r="G1552" s="1">
        <f t="shared" ref="G1552:K1552" si="959">SUM(G1553:G1554)</f>
        <v>0.10849231888809399</v>
      </c>
      <c r="H1552" s="1">
        <f t="shared" si="959"/>
        <v>5.3817151259160062E-2</v>
      </c>
      <c r="I1552" s="1">
        <f t="shared" si="959"/>
        <v>9.6701707887431113E-2</v>
      </c>
      <c r="J1552" s="1">
        <f t="shared" si="959"/>
        <v>0.22693800692440419</v>
      </c>
      <c r="K1552" s="1">
        <f t="shared" si="959"/>
        <v>0.14688594123811358</v>
      </c>
    </row>
    <row r="1553" spans="2:11" x14ac:dyDescent="0.25">
      <c r="B1553" t="str">
        <f t="shared" si="948"/>
        <v>SPS2</v>
      </c>
      <c r="C1553" t="str">
        <f t="shared" si="953"/>
        <v>CH</v>
      </c>
      <c r="D1553" t="s">
        <v>1542</v>
      </c>
      <c r="E1553" t="str">
        <f t="shared" si="955"/>
        <v>PJ/yr.</v>
      </c>
      <c r="F1553" s="1">
        <f>[1]Transport!B$25/SUM([1]Transport!B$21,[1]Transport!B$25)*F1550*(F$34+F$598)/(F$34+F$598+F$37)</f>
        <v>4.8260463912821953E-2</v>
      </c>
      <c r="G1553" s="1">
        <f>[1]Transport!C$25/SUM([1]Transport!C$21,[1]Transport!C$25)*G1550*(G$34+G$598)/(G$34+G$598+G$37)</f>
        <v>0.10849231888809399</v>
      </c>
      <c r="H1553" s="1">
        <f>[1]Transport!D$25/SUM([1]Transport!D$21,[1]Transport!D$25)*H1550*(H$34+H$598)/(H$34+H$598+H$37)</f>
        <v>5.3817151259160062E-2</v>
      </c>
      <c r="I1553" s="1">
        <f>[1]Transport!E$25/SUM([1]Transport!E$21,[1]Transport!E$25)*I1550*(I$34+I$598)/(I$34+I$598+I$37)</f>
        <v>9.6701707887431113E-2</v>
      </c>
      <c r="J1553" s="1">
        <f>[1]Transport!F$25/SUM([1]Transport!F$21,[1]Transport!F$25)*J1550*(J$34+J$598)/(J$34+J$598+J$37)</f>
        <v>0.10096449326376818</v>
      </c>
      <c r="K1553" s="1">
        <f>[1]Transport!G$25/SUM([1]Transport!G$21,[1]Transport!G$25)*K1550*(K$34+K$598)/(K$34+K$598+K$37)</f>
        <v>2.6799481482500477E-2</v>
      </c>
    </row>
    <row r="1554" spans="2:11" x14ac:dyDescent="0.25">
      <c r="B1554" t="str">
        <f t="shared" si="948"/>
        <v>SPS2</v>
      </c>
      <c r="C1554" t="str">
        <f t="shared" si="953"/>
        <v>CH</v>
      </c>
      <c r="D1554" t="s">
        <v>1543</v>
      </c>
      <c r="E1554" t="str">
        <f t="shared" si="955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0.125973513660636</v>
      </c>
      <c r="K1554" s="1">
        <f>(K$37+K$717)/([1]Transport!G$21+[1]Transport!G$25)*K1550</f>
        <v>0.12008645975561311</v>
      </c>
    </row>
    <row r="1555" spans="2:11" x14ac:dyDescent="0.25">
      <c r="B1555" t="str">
        <f t="shared" si="948"/>
        <v>SPS2</v>
      </c>
      <c r="C1555" t="str">
        <f t="shared" si="953"/>
        <v>CH</v>
      </c>
      <c r="D1555" t="s">
        <v>1589</v>
      </c>
      <c r="E1555" t="str">
        <f t="shared" si="955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0.83126134553182085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1.8394454234143958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0.54266248385868754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0.27084913834114022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948"/>
        <v>SPS2</v>
      </c>
      <c r="C1556" t="str">
        <f t="shared" si="953"/>
        <v>CH</v>
      </c>
      <c r="D1556" t="s">
        <v>1588</v>
      </c>
      <c r="E1556" t="str">
        <f t="shared" si="955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5.0369389772140401E-2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0.14245009304644538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0.44041335554830197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1.0064803232798594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0.93653321865719574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0.14512111267284178</v>
      </c>
    </row>
    <row r="1557" spans="2:11" x14ac:dyDescent="0.25">
      <c r="B1557" t="str">
        <f t="shared" si="948"/>
        <v>SPS2</v>
      </c>
      <c r="C1557" t="str">
        <f t="shared" si="953"/>
        <v>CH</v>
      </c>
      <c r="D1557" t="s">
        <v>1547</v>
      </c>
      <c r="E1557" t="str">
        <f t="shared" si="955"/>
        <v>PJ/yr.</v>
      </c>
      <c r="F1557" s="1">
        <f>SUM(F1562:F1564)</f>
        <v>15.966072654748007</v>
      </c>
      <c r="G1557" s="1">
        <f t="shared" ref="G1557:K1557" si="960">SUM(G1562:G1564)</f>
        <v>13.447710793883211</v>
      </c>
      <c r="H1557" s="1">
        <f t="shared" si="960"/>
        <v>12.705190365558462</v>
      </c>
      <c r="I1557" s="1">
        <f t="shared" si="960"/>
        <v>7.0713818071943653</v>
      </c>
      <c r="J1557" s="1">
        <f t="shared" si="960"/>
        <v>0.27218175839068726</v>
      </c>
      <c r="K1557" s="1">
        <f t="shared" si="960"/>
        <v>2.4446283981259257E-2</v>
      </c>
    </row>
    <row r="1558" spans="2:11" x14ac:dyDescent="0.25">
      <c r="B1558" t="str">
        <f t="shared" si="948"/>
        <v>SPS2</v>
      </c>
      <c r="C1558" t="str">
        <f t="shared" si="953"/>
        <v>CH</v>
      </c>
      <c r="D1558" t="s">
        <v>1548</v>
      </c>
      <c r="E1558" t="str">
        <f t="shared" si="955"/>
        <v>PJ/yr.</v>
      </c>
      <c r="F1558" s="1">
        <f>F1557-F1559</f>
        <v>15.591788041009989</v>
      </c>
      <c r="G1558" s="1">
        <f t="shared" ref="G1558:K1558" si="961">G1557-G1559</f>
        <v>13.097255737294919</v>
      </c>
      <c r="H1558" s="1">
        <f t="shared" si="961"/>
        <v>12.266142042216289</v>
      </c>
      <c r="I1558" s="1">
        <f t="shared" si="961"/>
        <v>6.7189614299464688</v>
      </c>
      <c r="J1558" s="1">
        <f t="shared" si="961"/>
        <v>0.21803957574830193</v>
      </c>
      <c r="K1558" s="1">
        <f t="shared" si="961"/>
        <v>-1.1184762464920353E-3</v>
      </c>
    </row>
    <row r="1559" spans="2:11" x14ac:dyDescent="0.25">
      <c r="B1559" t="str">
        <f t="shared" si="948"/>
        <v>SPS2</v>
      </c>
      <c r="C1559" t="str">
        <f t="shared" si="953"/>
        <v>CH</v>
      </c>
      <c r="D1559" t="s">
        <v>1549</v>
      </c>
      <c r="E1559" t="str">
        <f t="shared" si="955"/>
        <v>PJ/yr.</v>
      </c>
      <c r="F1559" s="1">
        <f>SUM(F1560:F1561)</f>
        <v>0.37428461373801875</v>
      </c>
      <c r="G1559" s="1">
        <f t="shared" ref="G1559:K1559" si="962">SUM(G1560:G1561)</f>
        <v>0.35045505658829074</v>
      </c>
      <c r="H1559" s="1">
        <f t="shared" si="962"/>
        <v>0.43904832334217286</v>
      </c>
      <c r="I1559" s="1">
        <f t="shared" si="962"/>
        <v>0.35242037724789649</v>
      </c>
      <c r="J1559" s="1">
        <f t="shared" si="962"/>
        <v>5.4142182642385329E-2</v>
      </c>
      <c r="K1559" s="1">
        <f t="shared" si="962"/>
        <v>2.5564760227751292E-2</v>
      </c>
    </row>
    <row r="1560" spans="2:11" x14ac:dyDescent="0.25">
      <c r="B1560" t="str">
        <f t="shared" si="948"/>
        <v>SPS2</v>
      </c>
      <c r="C1560" t="str">
        <f t="shared" si="953"/>
        <v>CH</v>
      </c>
      <c r="D1560" t="s">
        <v>1550</v>
      </c>
      <c r="E1560" t="str">
        <f t="shared" si="955"/>
        <v>PJ/yr.</v>
      </c>
      <c r="F1560" s="1">
        <f>[1]Transport!B$26/SUM([1]Transport!B$22,[1]Transport!B$26)*F1557*(F$33+F$580)/(F$33+F$580+F$36)</f>
        <v>0.37428461373801875</v>
      </c>
      <c r="G1560" s="1">
        <f>[1]Transport!C$26/SUM([1]Transport!C$22,[1]Transport!C$26)*G1557*(G$33+G$580)/(G$33+G$580+G$36)</f>
        <v>0.35045505658829074</v>
      </c>
      <c r="H1560" s="1">
        <f>[1]Transport!D$26/SUM([1]Transport!D$22,[1]Transport!D$26)*H1557*(H$33+H$580)/(H$33+H$580+H$36)</f>
        <v>0.43904832334217286</v>
      </c>
      <c r="I1560" s="1">
        <f>[1]Transport!E$26/SUM([1]Transport!E$22,[1]Transport!E$26)*I1557*(I$33+I$580)/(I$33+I$580+I$36)</f>
        <v>0.35242037724789649</v>
      </c>
      <c r="J1560" s="1">
        <f>[1]Transport!F$26/SUM([1]Transport!F$22,[1]Transport!F$26)*J1557*(J$33+J$580)/(J$33+J$580+J$36)</f>
        <v>2.2375801954167565E-2</v>
      </c>
      <c r="K1560" s="1">
        <f>[1]Transport!G$26/SUM([1]Transport!G$22,[1]Transport!G$26)*K1557*(K$33+K$580)/(K$33+K$580+K$36)</f>
        <v>6.1233117128324617E-3</v>
      </c>
    </row>
    <row r="1561" spans="2:11" x14ac:dyDescent="0.25">
      <c r="B1561" t="str">
        <f t="shared" si="948"/>
        <v>SPS2</v>
      </c>
      <c r="C1561" t="str">
        <f t="shared" si="953"/>
        <v>CH</v>
      </c>
      <c r="D1561" t="s">
        <v>1551</v>
      </c>
      <c r="E1561" t="str">
        <f t="shared" si="955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3.1766380688217764E-2</v>
      </c>
      <c r="K1561" s="1">
        <f>(K$36+K$716)/([1]Transport!G$22+[1]Transport!G$26)*K1557</f>
        <v>1.944144851491883E-2</v>
      </c>
    </row>
    <row r="1562" spans="2:11" x14ac:dyDescent="0.25">
      <c r="B1562" t="str">
        <f t="shared" si="948"/>
        <v>SPS2</v>
      </c>
      <c r="C1562" t="str">
        <f t="shared" si="953"/>
        <v>CH</v>
      </c>
      <c r="D1562" t="s">
        <v>1552</v>
      </c>
      <c r="E1562" t="str">
        <f t="shared" si="955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11.520839522992702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7.4388835993636881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5.4522645490369053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2.7252972591168474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948"/>
        <v>SPS2</v>
      </c>
      <c r="C1563" t="str">
        <f t="shared" si="953"/>
        <v>CH</v>
      </c>
      <c r="D1563" t="s">
        <v>1553</v>
      </c>
      <c r="E1563" t="str">
        <f t="shared" si="955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4.4452331317553062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5.2441208420344108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4.9511228423463498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2.0902169191918163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2.075422371498666E-3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2.6785684734834537E-4</v>
      </c>
    </row>
    <row r="1564" spans="2:11" x14ac:dyDescent="0.25">
      <c r="B1564" t="str">
        <f t="shared" si="948"/>
        <v>SPS2</v>
      </c>
      <c r="C1564" t="str">
        <f t="shared" si="953"/>
        <v>CH</v>
      </c>
      <c r="D1564" t="s">
        <v>1554</v>
      </c>
      <c r="E1564" t="str">
        <f t="shared" si="955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0.76470635248511143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2.3018029741752075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2.2558676288857007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0.2701063360191886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2.4178427133910912E-2</v>
      </c>
    </row>
    <row r="1565" spans="2:11" x14ac:dyDescent="0.25">
      <c r="B1565" t="str">
        <f t="shared" si="948"/>
        <v>SPS2</v>
      </c>
      <c r="C1565" t="str">
        <f t="shared" si="953"/>
        <v>CH</v>
      </c>
      <c r="D1565" t="s">
        <v>1555</v>
      </c>
      <c r="E1565" t="str">
        <f t="shared" si="955"/>
        <v>PJ/yr.</v>
      </c>
      <c r="F1565" s="1">
        <f>F1570</f>
        <v>2.5326930390920915E-2</v>
      </c>
      <c r="G1565" s="1">
        <f t="shared" ref="G1565:K1565" si="963">G1570</f>
        <v>2.4529427524361037E-2</v>
      </c>
      <c r="H1565" s="1">
        <f t="shared" si="963"/>
        <v>3.1303696057704007E-2</v>
      </c>
      <c r="I1565" s="1">
        <f t="shared" si="963"/>
        <v>1.2326266171061944E-4</v>
      </c>
      <c r="J1565" s="1">
        <f t="shared" si="963"/>
        <v>9.0294898488164972E-5</v>
      </c>
      <c r="K1565" s="1">
        <f t="shared" si="963"/>
        <v>1.3227874959374947E-5</v>
      </c>
    </row>
    <row r="1566" spans="2:11" x14ac:dyDescent="0.25">
      <c r="B1566" t="str">
        <f t="shared" si="948"/>
        <v>SPS2</v>
      </c>
      <c r="C1566" t="str">
        <f t="shared" si="953"/>
        <v>CH</v>
      </c>
      <c r="D1566" t="s">
        <v>1556</v>
      </c>
      <c r="E1566" t="str">
        <f t="shared" si="955"/>
        <v>PJ/yr.</v>
      </c>
      <c r="F1566" s="1">
        <f>F1565-F1567</f>
        <v>2.342069158824172E-2</v>
      </c>
      <c r="G1566" s="1">
        <f t="shared" ref="G1566:K1566" si="964">G1565-G1567</f>
        <v>2.2194653149575052E-2</v>
      </c>
      <c r="H1566" s="1">
        <f t="shared" si="964"/>
        <v>2.8304791484073753E-2</v>
      </c>
      <c r="I1566" s="1">
        <f t="shared" si="964"/>
        <v>9.7870883320637023E-5</v>
      </c>
      <c r="J1566" s="1">
        <f t="shared" si="964"/>
        <v>-2.5594990806135698E-2</v>
      </c>
      <c r="K1566" s="1">
        <f t="shared" si="964"/>
        <v>-0.36357353141055182</v>
      </c>
    </row>
    <row r="1567" spans="2:11" x14ac:dyDescent="0.25">
      <c r="B1567" t="str">
        <f t="shared" si="948"/>
        <v>SPS2</v>
      </c>
      <c r="C1567" t="str">
        <f t="shared" si="953"/>
        <v>CH</v>
      </c>
      <c r="D1567" t="s">
        <v>1557</v>
      </c>
      <c r="E1567" t="str">
        <f t="shared" si="955"/>
        <v>PJ/yr.</v>
      </c>
      <c r="F1567" s="1">
        <f>SUM(F1568:F1569)</f>
        <v>1.9062388026791944E-3</v>
      </c>
      <c r="G1567" s="1">
        <f t="shared" ref="G1567:K1567" si="965">SUM(G1568:G1569)</f>
        <v>2.3347743747859856E-3</v>
      </c>
      <c r="H1567" s="1">
        <f t="shared" si="965"/>
        <v>2.9989045736302546E-3</v>
      </c>
      <c r="I1567" s="1">
        <f t="shared" si="965"/>
        <v>2.5391778389982425E-5</v>
      </c>
      <c r="J1567" s="1">
        <f t="shared" si="965"/>
        <v>2.5685285704623861E-2</v>
      </c>
      <c r="K1567" s="1">
        <f t="shared" si="965"/>
        <v>0.36358675928551121</v>
      </c>
    </row>
    <row r="1568" spans="2:11" x14ac:dyDescent="0.25">
      <c r="B1568" t="str">
        <f t="shared" si="948"/>
        <v>SPS2</v>
      </c>
      <c r="C1568" t="str">
        <f t="shared" si="953"/>
        <v>CH</v>
      </c>
      <c r="D1568" t="s">
        <v>1558</v>
      </c>
      <c r="E1568" t="str">
        <f t="shared" si="955"/>
        <v>PJ/yr.</v>
      </c>
      <c r="F1568" s="1">
        <f>[1]Transport!B$27/SUM([1]Transport!B$24,[1]Transport!B$27)*F1565*(F$45+F$612)/(F$45+F$612+F$47)</f>
        <v>1.9062388026791944E-3</v>
      </c>
      <c r="G1568" s="1">
        <f>[1]Transport!C$27/SUM([1]Transport!C$24,[1]Transport!C$27)*G1565*(G$45+G$612)/(G$45+G$612+G$47)</f>
        <v>2.3347743747859856E-3</v>
      </c>
      <c r="H1568" s="1">
        <f>[1]Transport!D$27/SUM([1]Transport!D$24,[1]Transport!D$27)*H1565*(H$45+H$612)/(H$45+H$612+H$47)</f>
        <v>2.9989045736302546E-3</v>
      </c>
      <c r="I1568" s="1">
        <f>[1]Transport!E$27/SUM([1]Transport!E$24,[1]Transport!E$27)*I1565*(I$45+I$612)/(I$45+I$612+I$47)</f>
        <v>2.5391778389982425E-5</v>
      </c>
      <c r="J1568" s="1">
        <f>[1]Transport!F$27/SUM([1]Transport!F$24,[1]Transport!F$27)*J1565*(J$45+J$612)/(J$45+J$612+J$47)</f>
        <v>2.2054595034920052E-5</v>
      </c>
      <c r="K1568" s="1">
        <f>[1]Transport!G$27/SUM([1]Transport!G$24,[1]Transport!G$27)*K1565*(K$45+K$612)/(K$45+K$612+K$47)</f>
        <v>6.5991115024252686E-6</v>
      </c>
    </row>
    <row r="1569" spans="2:11" x14ac:dyDescent="0.25">
      <c r="B1569" t="str">
        <f t="shared" si="948"/>
        <v>SPS2</v>
      </c>
      <c r="C1569" t="str">
        <f t="shared" si="953"/>
        <v>CH</v>
      </c>
      <c r="D1569" t="s">
        <v>1559</v>
      </c>
      <c r="E1569" t="str">
        <f t="shared" si="955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2.566323110958894E-2</v>
      </c>
      <c r="K1569" s="1">
        <f>(K$47+K$714)/([1]Transport!G$24+[1]Transport!G$27)*K1565</f>
        <v>0.36358016017400879</v>
      </c>
    </row>
    <row r="1570" spans="2:11" x14ac:dyDescent="0.25">
      <c r="B1570" t="str">
        <f t="shared" si="948"/>
        <v>SPS2</v>
      </c>
      <c r="C1570" t="str">
        <f t="shared" si="953"/>
        <v>CH</v>
      </c>
      <c r="D1570" t="s">
        <v>1560</v>
      </c>
      <c r="E1570" t="str">
        <f t="shared" si="955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2.5326930390920915E-2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2.4529427524361037E-2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3.1303696057704007E-2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1.2326266171061944E-4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9.0294898488164972E-5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1.3227874959374947E-5</v>
      </c>
    </row>
    <row r="1571" spans="2:11" x14ac:dyDescent="0.25">
      <c r="B1571" s="2" t="str">
        <f t="shared" si="948"/>
        <v>SPS2</v>
      </c>
      <c r="C1571" s="2" t="str">
        <f t="shared" si="953"/>
        <v>CH</v>
      </c>
      <c r="D1571" s="2" t="s">
        <v>1561</v>
      </c>
      <c r="E1571" s="2" t="s">
        <v>1518</v>
      </c>
      <c r="F1571" s="3">
        <f>SUM(F1572:F1580)</f>
        <v>4.7787761894096548</v>
      </c>
      <c r="G1571" s="3">
        <f t="shared" ref="G1571:K1571" si="966">SUM(G1572:G1580)</f>
        <v>4.7670196545154457</v>
      </c>
      <c r="H1571" s="3">
        <f t="shared" si="966"/>
        <v>4.7028700106049097</v>
      </c>
      <c r="I1571" s="3">
        <f t="shared" si="966"/>
        <v>4.6369084736427038</v>
      </c>
      <c r="J1571" s="3">
        <f t="shared" si="966"/>
        <v>4.9867105382286541</v>
      </c>
      <c r="K1571" s="3">
        <f t="shared" si="966"/>
        <v>5.4070685333013753</v>
      </c>
    </row>
    <row r="1572" spans="2:11" x14ac:dyDescent="0.25">
      <c r="B1572" t="str">
        <f t="shared" si="948"/>
        <v>SPS2</v>
      </c>
      <c r="C1572" t="str">
        <f t="shared" si="953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9.7978996256408053E-3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8.5095654017447939E-3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1.859239295326565E-2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9.2998046577812497E-3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948"/>
        <v>SPS2</v>
      </c>
      <c r="C1573" t="str">
        <f t="shared" si="953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7.3253211510585546E-3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4.550873430382766E-2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7.7091766100796072E-2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1.675683482155883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4.4815667240413148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5.2504930661742311</v>
      </c>
    </row>
    <row r="1574" spans="2:11" x14ac:dyDescent="0.25">
      <c r="B1574" t="str">
        <f t="shared" si="948"/>
        <v>SPS2</v>
      </c>
      <c r="C1574" t="str">
        <f t="shared" si="953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1.4969186664821259E-4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2.1297518157131697E-4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3.2544734523460878E-4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5.1010390244913544E-2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9.4368121076400358E-2</v>
      </c>
    </row>
    <row r="1575" spans="2:11" x14ac:dyDescent="0.25">
      <c r="B1575" t="str">
        <f t="shared" si="948"/>
        <v>SPS2</v>
      </c>
      <c r="C1575" t="str">
        <f t="shared" si="953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0.23074423099338856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0.51535805063824258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0.15414380334042144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7.6934959679746645E-2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948"/>
        <v>SPS2</v>
      </c>
      <c r="C1576" t="str">
        <f t="shared" si="953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1.7691221234214384E-2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5.003269093232067E-2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0.15468621205764976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0.35350569358845302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0.32893819916038425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5.0970832119761472E-2</v>
      </c>
    </row>
    <row r="1577" spans="2:11" x14ac:dyDescent="0.25">
      <c r="B1577" t="str">
        <f t="shared" si="948"/>
        <v>SPS2</v>
      </c>
      <c r="C1577" t="str">
        <f t="shared" si="953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2.984319516919077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1.9931555975003408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1.5336604209653133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0.76659533008372849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948"/>
        <v>SPS2</v>
      </c>
      <c r="C1578" t="str">
        <f t="shared" si="953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1.5207787699601889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1.7940898502487599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1.6938509821490662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0.71509354427566696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7.1003211479018201E-4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9.1637714999883319E-5</v>
      </c>
    </row>
    <row r="1579" spans="2:11" x14ac:dyDescent="0.25">
      <c r="B1579" t="str">
        <f t="shared" si="948"/>
        <v>SPS2</v>
      </c>
      <c r="C1579" t="str">
        <f t="shared" si="953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0.35235190511605696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1.0605962151572825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1.0394306966908506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0.12445624620613029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1.1140635664471146E-2</v>
      </c>
    </row>
    <row r="1580" spans="2:11" x14ac:dyDescent="0.25">
      <c r="B1580" t="str">
        <f t="shared" si="948"/>
        <v>SPS2</v>
      </c>
      <c r="C1580" t="str">
        <f t="shared" si="953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8.1192295260861195E-3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7.8635685075036064E-3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1.003524269954351E-2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3.9515165358672471E-5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2.8946461120407412E-5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4.2405515109731784E-6</v>
      </c>
    </row>
    <row r="1581" spans="2:11" x14ac:dyDescent="0.25">
      <c r="B1581" s="2" t="str">
        <f t="shared" si="948"/>
        <v>SPS2</v>
      </c>
      <c r="C1581" s="2" t="str">
        <f t="shared" si="953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948"/>
        <v>SPS2</v>
      </c>
      <c r="C1582" t="str">
        <f t="shared" si="953"/>
        <v>CH</v>
      </c>
      <c r="D1582" t="s">
        <v>1570</v>
      </c>
      <c r="E1582" t="s">
        <v>1577</v>
      </c>
      <c r="F1582" s="1">
        <f>IFERROR(F1572/F1546,"-")</f>
        <v>0.68922285337539591</v>
      </c>
      <c r="G1582" s="1">
        <f t="shared" ref="G1582:K1582" si="967">IFERROR(G1572/G1546,"-")</f>
        <v>0.69564643130450565</v>
      </c>
      <c r="H1582" s="1">
        <f t="shared" si="967"/>
        <v>0.70528179819816983</v>
      </c>
      <c r="I1582" s="1">
        <f t="shared" si="967"/>
        <v>0.70528179819817016</v>
      </c>
      <c r="J1582" s="1" t="str">
        <f t="shared" si="967"/>
        <v>-</v>
      </c>
      <c r="K1582" s="1" t="str">
        <f t="shared" si="967"/>
        <v>-</v>
      </c>
    </row>
    <row r="1583" spans="2:11" x14ac:dyDescent="0.25">
      <c r="B1583" t="str">
        <f t="shared" si="948"/>
        <v>SPS2</v>
      </c>
      <c r="C1583" t="str">
        <f t="shared" si="953"/>
        <v>CH</v>
      </c>
      <c r="D1583" t="s">
        <v>1571</v>
      </c>
      <c r="E1583" t="s">
        <v>1577</v>
      </c>
      <c r="F1583" s="1">
        <f>IFERROR(F1573/F1547,"-")</f>
        <v>0.68135756995377295</v>
      </c>
      <c r="G1583" s="1">
        <f t="shared" ref="G1583:K1583" si="968">IFERROR(G1573/G1547,"-")</f>
        <v>0.68135756995377239</v>
      </c>
      <c r="H1583" s="1">
        <f t="shared" si="968"/>
        <v>0.68135756995377361</v>
      </c>
      <c r="I1583" s="1">
        <f t="shared" si="968"/>
        <v>0.68135756995377217</v>
      </c>
      <c r="J1583" s="1">
        <f t="shared" si="968"/>
        <v>0.68135756995377261</v>
      </c>
      <c r="K1583" s="1">
        <f t="shared" si="968"/>
        <v>0.68135756995377339</v>
      </c>
    </row>
    <row r="1584" spans="2:11" x14ac:dyDescent="0.25">
      <c r="B1584" t="str">
        <f t="shared" si="948"/>
        <v>SPS2</v>
      </c>
      <c r="C1584" t="str">
        <f t="shared" si="953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969">IFERROR(G1574/G1549,"-")</f>
        <v>0.46510343171505408</v>
      </c>
      <c r="H1584" s="1">
        <f t="shared" si="969"/>
        <v>0.47387683853835577</v>
      </c>
      <c r="I1584" s="1">
        <f t="shared" si="969"/>
        <v>0.49406075476089728</v>
      </c>
      <c r="J1584" s="1">
        <f t="shared" si="969"/>
        <v>0.57641290836165648</v>
      </c>
      <c r="K1584" s="1">
        <f t="shared" si="969"/>
        <v>0.59704770285676412</v>
      </c>
    </row>
    <row r="1585" spans="2:11" x14ac:dyDescent="0.25">
      <c r="B1585" t="str">
        <f t="shared" si="948"/>
        <v>SPS2</v>
      </c>
      <c r="C1585" t="str">
        <f t="shared" si="953"/>
        <v>CH</v>
      </c>
      <c r="D1585" t="s">
        <v>1592</v>
      </c>
      <c r="E1585" t="s">
        <v>1577</v>
      </c>
      <c r="F1585" s="1">
        <f>IFERROR(F1575/F1555,"-")</f>
        <v>0.27758325613680979</v>
      </c>
      <c r="G1585" s="1">
        <f t="shared" ref="G1585:K1585" si="970">IFERROR(G1575/G1555,"-")</f>
        <v>0.28017034051580075</v>
      </c>
      <c r="H1585" s="1">
        <f t="shared" si="970"/>
        <v>0.2840509670842869</v>
      </c>
      <c r="I1585" s="1">
        <f t="shared" si="970"/>
        <v>0.28405096708428673</v>
      </c>
      <c r="J1585" s="1" t="str">
        <f t="shared" si="970"/>
        <v>-</v>
      </c>
      <c r="K1585" s="1" t="str">
        <f t="shared" si="970"/>
        <v>-</v>
      </c>
    </row>
    <row r="1586" spans="2:11" x14ac:dyDescent="0.25">
      <c r="B1586" t="str">
        <f t="shared" si="948"/>
        <v>SPS2</v>
      </c>
      <c r="C1586" t="str">
        <f t="shared" si="953"/>
        <v>CH</v>
      </c>
      <c r="D1586" t="s">
        <v>1593</v>
      </c>
      <c r="E1586" t="s">
        <v>1577</v>
      </c>
      <c r="F1586" s="1">
        <f>IFERROR(F1576/F1556,"-")</f>
        <v>0.35122961215622073</v>
      </c>
      <c r="G1586" s="1">
        <f t="shared" ref="G1586:K1586" si="971">IFERROR(G1576/G1556,"-")</f>
        <v>0.35122961215622145</v>
      </c>
      <c r="H1586" s="1">
        <f t="shared" si="971"/>
        <v>0.35122961215622056</v>
      </c>
      <c r="I1586" s="1">
        <f t="shared" si="971"/>
        <v>0.35122961215622106</v>
      </c>
      <c r="J1586" s="1">
        <f t="shared" si="971"/>
        <v>0.35122961215622106</v>
      </c>
      <c r="K1586" s="1">
        <f t="shared" si="971"/>
        <v>0.35122961215622106</v>
      </c>
    </row>
    <row r="1587" spans="2:11" x14ac:dyDescent="0.25">
      <c r="B1587" t="str">
        <f t="shared" si="948"/>
        <v>SPS2</v>
      </c>
      <c r="C1587" t="str">
        <f t="shared" si="953"/>
        <v>CH</v>
      </c>
      <c r="D1587" t="s">
        <v>1573</v>
      </c>
      <c r="E1587" t="s">
        <v>1577</v>
      </c>
      <c r="F1587" s="1">
        <f>IFERROR(F1577/F1562,"-")</f>
        <v>0.25903663625928691</v>
      </c>
      <c r="G1587" s="1">
        <f t="shared" ref="G1587:K1587" si="972">IFERROR(G1577/G1562,"-")</f>
        <v>0.26793746277611236</v>
      </c>
      <c r="H1587" s="1">
        <f t="shared" si="972"/>
        <v>0.28128870255135013</v>
      </c>
      <c r="I1587" s="1">
        <f t="shared" si="972"/>
        <v>0.28128870255135008</v>
      </c>
      <c r="J1587" s="1" t="str">
        <f t="shared" si="972"/>
        <v>-</v>
      </c>
      <c r="K1587" s="1" t="str">
        <f t="shared" si="972"/>
        <v>-</v>
      </c>
    </row>
    <row r="1588" spans="2:11" x14ac:dyDescent="0.25">
      <c r="B1588" t="str">
        <f t="shared" ref="B1588:B1651" si="973">B1587</f>
        <v>SPS2</v>
      </c>
      <c r="C1588" t="str">
        <f t="shared" si="953"/>
        <v>CH</v>
      </c>
      <c r="D1588" t="s">
        <v>1574</v>
      </c>
      <c r="E1588" t="s">
        <v>1577</v>
      </c>
      <c r="F1588" s="1">
        <f>IFERROR(F1578/F1563,"-")</f>
        <v>0.34211451343153138</v>
      </c>
      <c r="G1588" s="1">
        <f t="shared" ref="G1588:K1588" si="974">IFERROR(G1578/G1563,"-")</f>
        <v>0.34211451343153232</v>
      </c>
      <c r="H1588" s="1">
        <f t="shared" si="974"/>
        <v>0.34211451343153221</v>
      </c>
      <c r="I1588" s="1">
        <f t="shared" si="974"/>
        <v>0.34211451343153337</v>
      </c>
      <c r="J1588" s="1">
        <f t="shared" si="974"/>
        <v>0.34211451343153182</v>
      </c>
      <c r="K1588" s="1">
        <f t="shared" si="974"/>
        <v>0.34211451343153199</v>
      </c>
    </row>
    <row r="1589" spans="2:11" x14ac:dyDescent="0.25">
      <c r="B1589" t="str">
        <f t="shared" si="973"/>
        <v>SPS2</v>
      </c>
      <c r="C1589" t="str">
        <f t="shared" si="953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975">IFERROR(G1579/G1564,"-")</f>
        <v>0.46076759264650824</v>
      </c>
      <c r="H1589" s="1">
        <f t="shared" si="975"/>
        <v>0.46076759264650796</v>
      </c>
      <c r="I1589" s="1">
        <f t="shared" si="975"/>
        <v>0.46076759264650807</v>
      </c>
      <c r="J1589" s="1">
        <f t="shared" si="975"/>
        <v>0.46076759264650796</v>
      </c>
      <c r="K1589" s="1">
        <f t="shared" si="975"/>
        <v>0.46076759264650829</v>
      </c>
    </row>
    <row r="1590" spans="2:11" x14ac:dyDescent="0.25">
      <c r="B1590" t="str">
        <f t="shared" si="973"/>
        <v>SPS2</v>
      </c>
      <c r="C1590" t="str">
        <f t="shared" si="953"/>
        <v>CH</v>
      </c>
      <c r="D1590" t="s">
        <v>1576</v>
      </c>
      <c r="E1590" t="s">
        <v>1577</v>
      </c>
      <c r="F1590" s="1">
        <f>IFERROR(F1580/F1570,"-")</f>
        <v>0.3205769274351804</v>
      </c>
      <c r="G1590" s="1">
        <f t="shared" ref="G1590:K1590" si="976">IFERROR(G1580/G1570,"-")</f>
        <v>0.32057692743518046</v>
      </c>
      <c r="H1590" s="1">
        <f t="shared" si="976"/>
        <v>0.32057692743518007</v>
      </c>
      <c r="I1590" s="1">
        <f t="shared" si="976"/>
        <v>0.32057692743518068</v>
      </c>
      <c r="J1590" s="1">
        <f t="shared" si="976"/>
        <v>0.32057692743518007</v>
      </c>
      <c r="K1590" s="1">
        <f t="shared" si="976"/>
        <v>0.32057692743518013</v>
      </c>
    </row>
    <row r="1591" spans="2:11" x14ac:dyDescent="0.25">
      <c r="B1591" s="2" t="str">
        <f t="shared" si="973"/>
        <v>SPS2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24.520999801816359</v>
      </c>
      <c r="G1591" s="3">
        <f t="shared" ref="G1591" si="977">G1592+G1595+G1597+G1604+G1612</f>
        <v>22.85951221155614</v>
      </c>
      <c r="H1591" s="3">
        <f t="shared" ref="H1591" si="978">H1592+H1595+H1597+H1604+H1612</f>
        <v>20.395035005458602</v>
      </c>
      <c r="I1591" s="3">
        <f t="shared" ref="I1591" si="979">I1592+I1595+I1597+I1604+I1612</f>
        <v>16.493651404909155</v>
      </c>
      <c r="J1591" s="3">
        <f t="shared" ref="J1591" si="980">J1592+J1595+J1597+J1604+J1612</f>
        <v>13.041918114380383</v>
      </c>
      <c r="K1591" s="3">
        <f t="shared" ref="K1591" si="981">K1592+K1595+K1597+K1604+K1612</f>
        <v>8.3297011427964094</v>
      </c>
    </row>
    <row r="1592" spans="2:11" x14ac:dyDescent="0.25">
      <c r="B1592" t="str">
        <f t="shared" si="973"/>
        <v>SPS2</v>
      </c>
      <c r="C1592" t="str">
        <f t="shared" ref="C1592:C1637" si="982">C1591</f>
        <v>CH</v>
      </c>
      <c r="D1592" t="s">
        <v>1598</v>
      </c>
      <c r="E1592" t="str">
        <f>E1591</f>
        <v>PJ/yr.</v>
      </c>
      <c r="F1592" s="1">
        <f>SUM(F1593:F1594)</f>
        <v>3.6998482193164157E-3</v>
      </c>
      <c r="G1592" s="1">
        <f t="shared" ref="G1592" si="983">SUM(G1593:G1594)</f>
        <v>4.1378979757149348E-3</v>
      </c>
      <c r="H1592" s="1">
        <f t="shared" ref="H1592" si="984">SUM(H1593:H1594)</f>
        <v>5.0884040032162124E-3</v>
      </c>
      <c r="I1592" s="1">
        <f t="shared" ref="I1592" si="985">SUM(I1593:I1594)</f>
        <v>6.3853962577870224E-3</v>
      </c>
      <c r="J1592" s="1">
        <f t="shared" ref="J1592" si="986">SUM(J1593:J1594)</f>
        <v>2.4487947656098896</v>
      </c>
      <c r="K1592" s="1">
        <f t="shared" ref="K1592" si="987">SUM(K1593:K1594)</f>
        <v>7.6274217783629892</v>
      </c>
    </row>
    <row r="1593" spans="2:11" x14ac:dyDescent="0.25">
      <c r="B1593" t="str">
        <f t="shared" si="973"/>
        <v>SPS2</v>
      </c>
      <c r="C1593" t="str">
        <f t="shared" si="982"/>
        <v>CH</v>
      </c>
      <c r="D1593" t="s">
        <v>1599</v>
      </c>
      <c r="E1593" t="str">
        <f t="shared" ref="E1593:E1617" si="988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973"/>
        <v>SPS2</v>
      </c>
      <c r="C1594" t="str">
        <f t="shared" si="982"/>
        <v>CH</v>
      </c>
      <c r="D1594" t="s">
        <v>1600</v>
      </c>
      <c r="E1594" t="str">
        <f t="shared" si="988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3.6998482193164157E-3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4.1378979757149348E-3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5.0884040032162124E-3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6.3853962577870224E-3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2.4487947656098896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7.6274217783629892</v>
      </c>
    </row>
    <row r="1595" spans="2:11" x14ac:dyDescent="0.25">
      <c r="B1595" t="str">
        <f t="shared" si="973"/>
        <v>SPS2</v>
      </c>
      <c r="C1595" t="str">
        <f t="shared" si="982"/>
        <v>CH</v>
      </c>
      <c r="D1595" t="s">
        <v>1601</v>
      </c>
      <c r="E1595" t="str">
        <f t="shared" si="988"/>
        <v>PJ/yr.</v>
      </c>
      <c r="F1595" s="1">
        <f>F1596</f>
        <v>2.1659489813866798E-3</v>
      </c>
      <c r="G1595" s="1">
        <f t="shared" ref="G1595" si="989">G1596</f>
        <v>1.2170363108960277E-2</v>
      </c>
      <c r="H1595" s="1">
        <f t="shared" ref="H1595" si="990">H1596</f>
        <v>1.1910590133829306E-2</v>
      </c>
      <c r="I1595" s="1">
        <f t="shared" ref="I1595" si="991">I1596</f>
        <v>3.4010354395267207E-3</v>
      </c>
      <c r="J1595" s="1">
        <f t="shared" ref="J1595" si="992">J1596</f>
        <v>0.25345329313021614</v>
      </c>
      <c r="K1595" s="1">
        <f t="shared" ref="K1595" si="993">K1596</f>
        <v>0.22590229761970873</v>
      </c>
    </row>
    <row r="1596" spans="2:11" x14ac:dyDescent="0.25">
      <c r="B1596" t="str">
        <f t="shared" si="973"/>
        <v>SPS2</v>
      </c>
      <c r="C1596" t="str">
        <f t="shared" si="982"/>
        <v>CH</v>
      </c>
      <c r="D1596" t="s">
        <v>1602</v>
      </c>
      <c r="E1596" t="str">
        <f t="shared" si="988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2.1659489813866798E-3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1.2170363108960277E-2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1.1910590133829306E-2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3.4010354395267207E-3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0.25345329313021614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0.22590229761970873</v>
      </c>
    </row>
    <row r="1597" spans="2:11" x14ac:dyDescent="0.25">
      <c r="B1597" t="str">
        <f t="shared" si="973"/>
        <v>SPS2</v>
      </c>
      <c r="C1597" t="str">
        <f t="shared" si="982"/>
        <v>CH</v>
      </c>
      <c r="D1597" t="s">
        <v>1603</v>
      </c>
      <c r="E1597" t="str">
        <f t="shared" si="988"/>
        <v>PJ/yr.</v>
      </c>
      <c r="F1597" s="1">
        <f>SUM(F1602:F1603)</f>
        <v>0</v>
      </c>
      <c r="G1597" s="1">
        <f t="shared" ref="G1597:K1597" si="994">SUM(G1602:G1603)</f>
        <v>0</v>
      </c>
      <c r="H1597" s="1">
        <f t="shared" si="994"/>
        <v>0</v>
      </c>
      <c r="I1597" s="1">
        <f t="shared" si="994"/>
        <v>0</v>
      </c>
      <c r="J1597" s="1">
        <f t="shared" si="994"/>
        <v>0</v>
      </c>
      <c r="K1597" s="1">
        <f t="shared" si="994"/>
        <v>0</v>
      </c>
    </row>
    <row r="1598" spans="2:11" x14ac:dyDescent="0.25">
      <c r="B1598" t="str">
        <f t="shared" si="973"/>
        <v>SPS2</v>
      </c>
      <c r="C1598" t="str">
        <f t="shared" si="982"/>
        <v>CH</v>
      </c>
      <c r="D1598" t="s">
        <v>1604</v>
      </c>
      <c r="E1598" t="str">
        <f t="shared" si="988"/>
        <v>PJ/yr.</v>
      </c>
      <c r="F1598" s="1">
        <f>F1597-F1599</f>
        <v>0</v>
      </c>
      <c r="G1598" s="1">
        <f t="shared" ref="G1598:K1598" si="995">G1597-G1599</f>
        <v>0</v>
      </c>
      <c r="H1598" s="1">
        <f t="shared" si="995"/>
        <v>0</v>
      </c>
      <c r="I1598" s="1">
        <f t="shared" si="995"/>
        <v>0</v>
      </c>
      <c r="J1598" s="1">
        <f t="shared" si="995"/>
        <v>0</v>
      </c>
      <c r="K1598" s="1">
        <f t="shared" si="995"/>
        <v>0</v>
      </c>
    </row>
    <row r="1599" spans="2:11" x14ac:dyDescent="0.25">
      <c r="B1599" t="str">
        <f t="shared" si="973"/>
        <v>SPS2</v>
      </c>
      <c r="C1599" t="str">
        <f t="shared" si="982"/>
        <v>CH</v>
      </c>
      <c r="D1599" t="s">
        <v>1605</v>
      </c>
      <c r="E1599" t="str">
        <f t="shared" si="988"/>
        <v>PJ/yr.</v>
      </c>
      <c r="F1599" s="1">
        <f>SUM(F1600:F1601)</f>
        <v>0</v>
      </c>
      <c r="G1599" s="1">
        <f t="shared" ref="G1599:K1599" si="996">SUM(G1600:G1601)</f>
        <v>0</v>
      </c>
      <c r="H1599" s="1">
        <f t="shared" si="996"/>
        <v>0</v>
      </c>
      <c r="I1599" s="1">
        <f t="shared" si="996"/>
        <v>0</v>
      </c>
      <c r="J1599" s="1">
        <f t="shared" si="996"/>
        <v>0</v>
      </c>
      <c r="K1599" s="1">
        <f t="shared" si="996"/>
        <v>0</v>
      </c>
    </row>
    <row r="1600" spans="2:11" x14ac:dyDescent="0.25">
      <c r="B1600" t="str">
        <f t="shared" si="973"/>
        <v>SPS2</v>
      </c>
      <c r="C1600" t="str">
        <f t="shared" si="982"/>
        <v>CH</v>
      </c>
      <c r="D1600" t="s">
        <v>1606</v>
      </c>
      <c r="E1600" t="str">
        <f t="shared" si="988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973"/>
        <v>SPS2</v>
      </c>
      <c r="C1601" t="str">
        <f t="shared" si="982"/>
        <v>CH</v>
      </c>
      <c r="D1601" t="s">
        <v>1607</v>
      </c>
      <c r="E1601" t="str">
        <f t="shared" si="988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973"/>
        <v>SPS2</v>
      </c>
      <c r="C1602" t="str">
        <f t="shared" si="982"/>
        <v>CH</v>
      </c>
      <c r="D1602" t="s">
        <v>1608</v>
      </c>
      <c r="E1602" t="str">
        <f t="shared" si="988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973"/>
        <v>SPS2</v>
      </c>
      <c r="C1603" t="str">
        <f t="shared" si="982"/>
        <v>CH</v>
      </c>
      <c r="D1603" t="s">
        <v>1609</v>
      </c>
      <c r="E1603" t="str">
        <f t="shared" si="988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973"/>
        <v>SPS2</v>
      </c>
      <c r="C1604" t="str">
        <f t="shared" si="982"/>
        <v>CH</v>
      </c>
      <c r="D1604" t="s">
        <v>1610</v>
      </c>
      <c r="E1604" t="str">
        <f t="shared" si="988"/>
        <v>PJ/yr.</v>
      </c>
      <c r="F1604" s="1">
        <f>SUM(F1609:F1611)</f>
        <v>24.452717990612364</v>
      </c>
      <c r="G1604" s="1">
        <f t="shared" ref="G1604:K1604" si="997">SUM(G1609:G1611)</f>
        <v>22.817720041958633</v>
      </c>
      <c r="H1604" s="1">
        <f t="shared" si="997"/>
        <v>20.352968907263456</v>
      </c>
      <c r="I1604" s="1">
        <f t="shared" si="997"/>
        <v>16.476165228416733</v>
      </c>
      <c r="J1604" s="1">
        <f t="shared" si="997"/>
        <v>10.332955193467683</v>
      </c>
      <c r="K1604" s="1">
        <f t="shared" si="997"/>
        <v>0.47602608179254519</v>
      </c>
    </row>
    <row r="1605" spans="2:11" x14ac:dyDescent="0.25">
      <c r="B1605" t="str">
        <f t="shared" si="973"/>
        <v>SPS2</v>
      </c>
      <c r="C1605" t="str">
        <f t="shared" si="982"/>
        <v>CH</v>
      </c>
      <c r="D1605" t="s">
        <v>1611</v>
      </c>
      <c r="E1605" t="str">
        <f t="shared" si="988"/>
        <v>PJ/yr.</v>
      </c>
      <c r="F1605" s="1">
        <f>F1604-F1606</f>
        <v>23.87948521722652</v>
      </c>
      <c r="G1605" s="1">
        <f t="shared" ref="G1605:K1605" si="998">G1604-G1606</f>
        <v>22.223077169942254</v>
      </c>
      <c r="H1605" s="1">
        <f t="shared" si="998"/>
        <v>19.649639274517995</v>
      </c>
      <c r="I1605" s="1">
        <f t="shared" si="998"/>
        <v>15.655033443467746</v>
      </c>
      <c r="J1605" s="1">
        <f t="shared" si="998"/>
        <v>8.2775318225991494</v>
      </c>
      <c r="K1605" s="1">
        <f t="shared" si="998"/>
        <v>-2.177933732602455E-2</v>
      </c>
    </row>
    <row r="1606" spans="2:11" x14ac:dyDescent="0.25">
      <c r="B1606" t="str">
        <f t="shared" si="973"/>
        <v>SPS2</v>
      </c>
      <c r="C1606" t="str">
        <f t="shared" si="982"/>
        <v>CH</v>
      </c>
      <c r="D1606" t="s">
        <v>1612</v>
      </c>
      <c r="E1606" t="str">
        <f t="shared" si="988"/>
        <v>PJ/yr.</v>
      </c>
      <c r="F1606" s="1">
        <f>SUM(F1607:F1608)</f>
        <v>0.57323277338584178</v>
      </c>
      <c r="G1606" s="1">
        <f t="shared" ref="G1606:K1606" si="999">SUM(G1607:G1608)</f>
        <v>0.59464287201638022</v>
      </c>
      <c r="H1606" s="1">
        <f t="shared" si="999"/>
        <v>0.70332963274546056</v>
      </c>
      <c r="I1606" s="1">
        <f t="shared" si="999"/>
        <v>0.82113178494898664</v>
      </c>
      <c r="J1606" s="1">
        <f t="shared" si="999"/>
        <v>2.0554233708685339</v>
      </c>
      <c r="K1606" s="1">
        <f t="shared" si="999"/>
        <v>0.49780541911856974</v>
      </c>
    </row>
    <row r="1607" spans="2:11" x14ac:dyDescent="0.25">
      <c r="B1607" t="str">
        <f t="shared" si="973"/>
        <v>SPS2</v>
      </c>
      <c r="C1607" t="str">
        <f t="shared" si="982"/>
        <v>CH</v>
      </c>
      <c r="D1607" t="s">
        <v>1613</v>
      </c>
      <c r="E1607" t="str">
        <f t="shared" si="988"/>
        <v>PJ/yr.</v>
      </c>
      <c r="F1607" s="1">
        <f>[1]Transport!B$26/SUM([1]Transport!B$22,[1]Transport!B$26)*F1604*(F$33+F$580)/(F$33+F$580+F$36)</f>
        <v>0.57323277338584178</v>
      </c>
      <c r="G1607" s="1">
        <f>[1]Transport!C$26/SUM([1]Transport!C$22,[1]Transport!C$26)*G1604*(G$33+G$580)/(G$33+G$580+G$36)</f>
        <v>0.59464287201638022</v>
      </c>
      <c r="H1607" s="1">
        <f>[1]Transport!D$26/SUM([1]Transport!D$22,[1]Transport!D$26)*H1604*(H$33+H$580)/(H$33+H$580+H$36)</f>
        <v>0.70332963274546056</v>
      </c>
      <c r="I1607" s="1">
        <f>[1]Transport!E$26/SUM([1]Transport!E$22,[1]Transport!E$26)*I1604*(I$33+I$580)/(I$33+I$580+I$36)</f>
        <v>0.82113178494898664</v>
      </c>
      <c r="J1607" s="1">
        <f>[1]Transport!F$26/SUM([1]Transport!F$22,[1]Transport!F$26)*J1604*(J$33+J$580)/(J$33+J$580+J$36)</f>
        <v>0.84946236065697656</v>
      </c>
      <c r="K1607" s="1">
        <f>[1]Transport!G$26/SUM([1]Transport!G$22,[1]Transport!G$26)*K1604*(K$33+K$580)/(K$33+K$580+K$36)</f>
        <v>0.11923513956103064</v>
      </c>
    </row>
    <row r="1608" spans="2:11" x14ac:dyDescent="0.25">
      <c r="B1608" t="str">
        <f t="shared" si="973"/>
        <v>SPS2</v>
      </c>
      <c r="C1608" t="str">
        <f t="shared" si="982"/>
        <v>CH</v>
      </c>
      <c r="D1608" t="s">
        <v>1614</v>
      </c>
      <c r="E1608" t="str">
        <f t="shared" si="988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1.2059610102115574</v>
      </c>
      <c r="K1608" s="1">
        <f>(K$36+K$716)/([1]Transport!G$22+[1]Transport!G$26)*K1604</f>
        <v>0.37857027955753908</v>
      </c>
    </row>
    <row r="1609" spans="2:11" x14ac:dyDescent="0.25">
      <c r="B1609" t="str">
        <f t="shared" si="973"/>
        <v>SPS2</v>
      </c>
      <c r="C1609" t="str">
        <f t="shared" si="982"/>
        <v>CH</v>
      </c>
      <c r="D1609" t="s">
        <v>1615</v>
      </c>
      <c r="E1609" t="str">
        <f t="shared" si="988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19.238831533987891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15.92482611484175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11.439331917311151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4.8622415360359943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973"/>
        <v>SPS2</v>
      </c>
      <c r="C1610" t="str">
        <f t="shared" si="982"/>
        <v>CH</v>
      </c>
      <c r="D1610" t="s">
        <v>1616</v>
      </c>
      <c r="E1610" t="str">
        <f t="shared" si="988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5.2138864566244738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5.4827839372165386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4.5726350185834521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0.44011224989006947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1.4227144481647439E-3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1.2797658862233959E-4</v>
      </c>
    </row>
    <row r="1611" spans="2:11" x14ac:dyDescent="0.25">
      <c r="B1611" t="str">
        <f t="shared" si="973"/>
        <v>SPS2</v>
      </c>
      <c r="C1611" t="str">
        <f t="shared" si="982"/>
        <v>CH</v>
      </c>
      <c r="D1611" t="s">
        <v>1617</v>
      </c>
      <c r="E1611" t="str">
        <f t="shared" si="988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1.4101099899003453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4.3410019713688541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11.173811442490669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10.331532479019518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0.47589810520392284</v>
      </c>
    </row>
    <row r="1612" spans="2:11" x14ac:dyDescent="0.25">
      <c r="B1612" t="str">
        <f t="shared" si="973"/>
        <v>SPS2</v>
      </c>
      <c r="C1612" t="str">
        <f t="shared" si="982"/>
        <v>CH</v>
      </c>
      <c r="D1612" t="s">
        <v>1618</v>
      </c>
      <c r="E1612" t="str">
        <f t="shared" si="988"/>
        <v>PJ/yr.</v>
      </c>
      <c r="F1612" s="1">
        <f>F1617</f>
        <v>6.2416014003292337E-2</v>
      </c>
      <c r="G1612" s="1">
        <f t="shared" ref="G1612:K1612" si="1000">G1617</f>
        <v>2.5483908512832578E-2</v>
      </c>
      <c r="H1612" s="1">
        <f t="shared" si="1000"/>
        <v>2.5067104058102144E-2</v>
      </c>
      <c r="I1612" s="1">
        <f t="shared" si="1000"/>
        <v>7.699744795106515E-3</v>
      </c>
      <c r="J1612" s="1">
        <f t="shared" si="1000"/>
        <v>6.7148621725949776E-3</v>
      </c>
      <c r="K1612" s="1">
        <f t="shared" si="1000"/>
        <v>3.5098502116661886E-4</v>
      </c>
    </row>
    <row r="1613" spans="2:11" x14ac:dyDescent="0.25">
      <c r="B1613" t="str">
        <f t="shared" si="973"/>
        <v>SPS2</v>
      </c>
      <c r="C1613" t="str">
        <f t="shared" si="982"/>
        <v>CH</v>
      </c>
      <c r="D1613" t="s">
        <v>1619</v>
      </c>
      <c r="E1613" t="str">
        <f t="shared" si="988"/>
        <v>PJ/yr.</v>
      </c>
      <c r="F1613" s="1">
        <f>F1612-F1614</f>
        <v>5.7718254505193224E-2</v>
      </c>
      <c r="G1613" s="1">
        <f t="shared" ref="G1613:K1613" si="1001">G1612-G1614</f>
        <v>2.3058284168111887E-2</v>
      </c>
      <c r="H1613" s="1">
        <f t="shared" si="1001"/>
        <v>2.2665667088201353E-2</v>
      </c>
      <c r="I1613" s="1">
        <f t="shared" si="1001"/>
        <v>6.1136179762993764E-3</v>
      </c>
      <c r="J1613" s="1">
        <f t="shared" si="1001"/>
        <v>-1.9033947482045572</v>
      </c>
      <c r="K1613" s="1">
        <f t="shared" si="1001"/>
        <v>-9.6469662746029439</v>
      </c>
    </row>
    <row r="1614" spans="2:11" x14ac:dyDescent="0.25">
      <c r="B1614" t="str">
        <f t="shared" si="973"/>
        <v>SPS2</v>
      </c>
      <c r="C1614" t="str">
        <f t="shared" si="982"/>
        <v>CH</v>
      </c>
      <c r="D1614" t="s">
        <v>1620</v>
      </c>
      <c r="E1614" t="str">
        <f t="shared" si="988"/>
        <v>PJ/yr.</v>
      </c>
      <c r="F1614" s="1">
        <f>SUM(F1615:F1616)</f>
        <v>4.6977594980991133E-3</v>
      </c>
      <c r="G1614" s="1">
        <f t="shared" ref="G1614:K1614" si="1002">SUM(G1615:G1616)</f>
        <v>2.425624344720692E-3</v>
      </c>
      <c r="H1614" s="1">
        <f t="shared" si="1002"/>
        <v>2.4014369699007906E-3</v>
      </c>
      <c r="I1614" s="1">
        <f t="shared" si="1002"/>
        <v>1.5861268188071384E-3</v>
      </c>
      <c r="J1614" s="1">
        <f t="shared" si="1002"/>
        <v>1.9101096103771522</v>
      </c>
      <c r="K1614" s="1">
        <f t="shared" si="1002"/>
        <v>9.6473172596241099</v>
      </c>
    </row>
    <row r="1615" spans="2:11" x14ac:dyDescent="0.25">
      <c r="B1615" t="str">
        <f t="shared" si="973"/>
        <v>SPS2</v>
      </c>
      <c r="C1615" t="str">
        <f t="shared" si="982"/>
        <v>CH</v>
      </c>
      <c r="D1615" t="s">
        <v>1621</v>
      </c>
      <c r="E1615" t="str">
        <f t="shared" si="988"/>
        <v>PJ/yr.</v>
      </c>
      <c r="F1615" s="1">
        <f>[1]Transport!B$27/SUM([1]Transport!B$24,[1]Transport!B$27)*F1612*(F$45+F$612)/(F$45+F$612+F$47)</f>
        <v>4.6977594980991133E-3</v>
      </c>
      <c r="G1615" s="1">
        <f>[1]Transport!C$27/SUM([1]Transport!C$24,[1]Transport!C$27)*G1612*(G$45+G$612)/(G$45+G$612+G$47)</f>
        <v>2.425624344720692E-3</v>
      </c>
      <c r="H1615" s="1">
        <f>[1]Transport!D$27/SUM([1]Transport!D$24,[1]Transport!D$27)*H1612*(H$45+H$612)/(H$45+H$612+H$47)</f>
        <v>2.4014369699007906E-3</v>
      </c>
      <c r="I1615" s="1">
        <f>[1]Transport!E$27/SUM([1]Transport!E$24,[1]Transport!E$27)*I1612*(I$45+I$612)/(I$45+I$612+I$47)</f>
        <v>1.5861268188071384E-3</v>
      </c>
      <c r="J1615" s="1">
        <f>[1]Transport!F$27/SUM([1]Transport!F$24,[1]Transport!F$27)*J1612*(J$45+J$612)/(J$45+J$612+J$47)</f>
        <v>1.6401099996950152E-3</v>
      </c>
      <c r="K1615" s="1">
        <f>[1]Transport!G$27/SUM([1]Transport!G$24,[1]Transport!G$27)*K1612*(K$45+K$612)/(K$45+K$612+K$47)</f>
        <v>1.7509912192797573E-4</v>
      </c>
    </row>
    <row r="1616" spans="2:11" x14ac:dyDescent="0.25">
      <c r="B1616" t="str">
        <f t="shared" si="973"/>
        <v>SPS2</v>
      </c>
      <c r="C1616" t="str">
        <f t="shared" si="982"/>
        <v>CH</v>
      </c>
      <c r="D1616" t="s">
        <v>1622</v>
      </c>
      <c r="E1616" t="str">
        <f t="shared" si="988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1.9084695003774572</v>
      </c>
      <c r="K1616" s="1">
        <f>(K$47+K$714)/([1]Transport!G$24+[1]Transport!G$27)*K1612</f>
        <v>9.6471421605021828</v>
      </c>
    </row>
    <row r="1617" spans="2:11" x14ac:dyDescent="0.25">
      <c r="B1617" t="str">
        <f t="shared" si="973"/>
        <v>SPS2</v>
      </c>
      <c r="C1617" t="str">
        <f t="shared" si="982"/>
        <v>CH</v>
      </c>
      <c r="D1617" t="s">
        <v>1623</v>
      </c>
      <c r="E1617" t="str">
        <f t="shared" si="988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6.2416014003292337E-2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2.5483908512832578E-2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2.5067104058102144E-2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7.699744795106515E-3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6.7148621725949776E-3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3.5098502116661886E-4</v>
      </c>
    </row>
    <row r="1618" spans="2:11" x14ac:dyDescent="0.25">
      <c r="B1618" s="2" t="str">
        <f t="shared" si="973"/>
        <v>SPS2</v>
      </c>
      <c r="C1618" s="2" t="str">
        <f t="shared" si="982"/>
        <v>CH</v>
      </c>
      <c r="D1618" s="2" t="s">
        <v>1624</v>
      </c>
      <c r="E1618" s="2" t="s">
        <v>1518</v>
      </c>
      <c r="F1618" s="3">
        <f>SUM(F1619:F1627)</f>
        <v>2.2034142730076969</v>
      </c>
      <c r="G1618" s="3">
        <f t="shared" ref="G1618" si="1003">SUM(G1619:G1627)</f>
        <v>2.2248490261833385</v>
      </c>
      <c r="H1618" s="3">
        <f t="shared" ref="H1618" si="1004">SUM(H1619:H1627)</f>
        <v>2.2543857428967295</v>
      </c>
      <c r="I1618" s="3">
        <f t="shared" ref="I1618" si="1005">SUM(I1619:I1627)</f>
        <v>2.305357702005701</v>
      </c>
      <c r="J1618" s="3">
        <f t="shared" ref="J1618" si="1006">SUM(J1619:J1627)</f>
        <v>2.5059689060733139</v>
      </c>
      <c r="K1618" s="3">
        <f t="shared" ref="K1618" si="1007">SUM(K1619:K1627)</f>
        <v>2.7115882496992176</v>
      </c>
    </row>
    <row r="1619" spans="2:11" x14ac:dyDescent="0.25">
      <c r="B1619" t="str">
        <f t="shared" si="973"/>
        <v>SPS2</v>
      </c>
      <c r="C1619" t="str">
        <f t="shared" si="982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973"/>
        <v>SPS2</v>
      </c>
      <c r="C1620" t="str">
        <f t="shared" si="982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9.9425193972826897E-4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1.1212582337187809E-3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1.3881155331205747E-3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1.8347851065581185E-3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0.76475263040600094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2.5848287111369306</v>
      </c>
    </row>
    <row r="1621" spans="2:11" x14ac:dyDescent="0.25">
      <c r="B1621" t="str">
        <f t="shared" si="973"/>
        <v>SPS2</v>
      </c>
      <c r="C1621" t="str">
        <f t="shared" si="982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3.7786871124689738E-4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2.1341378026002097E-3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2.0890038191433741E-3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5.9896235073799797E-4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5.1391681766909461E-2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4.8908295840431375E-2</v>
      </c>
    </row>
    <row r="1622" spans="2:11" x14ac:dyDescent="0.25">
      <c r="B1622" t="str">
        <f t="shared" si="973"/>
        <v>SPS2</v>
      </c>
      <c r="C1622" t="str">
        <f t="shared" si="982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973"/>
        <v>SPS2</v>
      </c>
      <c r="C1623" t="str">
        <f t="shared" si="982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973"/>
        <v>SPS2</v>
      </c>
      <c r="C1624" t="str">
        <f t="shared" si="982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1.5766926943424626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1.3376250483600163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0.99590862258860402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0.42330691213870392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973"/>
        <v>SPS2</v>
      </c>
      <c r="C1625" t="str">
        <f t="shared" si="982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0.61890664900645476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0.65082572511676406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0.54278784933748692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5.2242871039140555E-2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1.6888120578229302E-4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1.5191270902130117E-5</v>
      </c>
    </row>
    <row r="1626" spans="2:11" x14ac:dyDescent="0.25">
      <c r="B1626" t="str">
        <f t="shared" si="973"/>
        <v>SPS2</v>
      </c>
      <c r="C1626" t="str">
        <f t="shared" si="982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0.23050624115920065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0.70960992720548666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1.8265477824266818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1.6888630916807352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7.7793565176497034E-2</v>
      </c>
    </row>
    <row r="1627" spans="2:11" x14ac:dyDescent="0.25">
      <c r="B1627" t="str">
        <f t="shared" si="973"/>
        <v>SPS2</v>
      </c>
      <c r="C1627" t="str">
        <f t="shared" si="982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6.4428090078046327E-3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2.6366155110383103E-3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2.6022244128882329E-3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8.2638894387862603E-4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7.9262101388591583E-4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4.2486274456820124E-5</v>
      </c>
    </row>
    <row r="1628" spans="2:11" x14ac:dyDescent="0.25">
      <c r="B1628" s="2" t="str">
        <f t="shared" si="973"/>
        <v>SPS2</v>
      </c>
      <c r="C1628" s="2" t="str">
        <f t="shared" si="982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973"/>
        <v>SPS2</v>
      </c>
      <c r="C1629" t="str">
        <f t="shared" si="982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08">IFERROR(G1619/G1593,"-")</f>
        <v>-</v>
      </c>
      <c r="H1629" s="1" t="str">
        <f t="shared" si="1008"/>
        <v>-</v>
      </c>
      <c r="I1629" s="1" t="str">
        <f t="shared" si="1008"/>
        <v>-</v>
      </c>
      <c r="J1629" s="1" t="str">
        <f t="shared" si="1008"/>
        <v>-</v>
      </c>
      <c r="K1629" s="1" t="str">
        <f t="shared" si="1008"/>
        <v>-</v>
      </c>
    </row>
    <row r="1630" spans="2:11" x14ac:dyDescent="0.25">
      <c r="B1630" t="str">
        <f t="shared" si="973"/>
        <v>SPS2</v>
      </c>
      <c r="C1630" t="str">
        <f t="shared" si="982"/>
        <v>CH</v>
      </c>
      <c r="D1630" t="s">
        <v>1636</v>
      </c>
      <c r="E1630" t="str">
        <f t="shared" ref="E1630:E1637" si="1009">E1629</f>
        <v>km/MJ</v>
      </c>
      <c r="F1630" s="1">
        <f>IFERROR(F1620/F1594,"-")</f>
        <v>0.26872776416540867</v>
      </c>
      <c r="G1630" s="1">
        <f t="shared" ref="G1630:K1630" si="1010">IFERROR(G1620/G1594,"-")</f>
        <v>0.27097290467270474</v>
      </c>
      <c r="H1630" s="1">
        <f t="shared" si="1010"/>
        <v>0.27279978795771576</v>
      </c>
      <c r="I1630" s="1">
        <f t="shared" si="1010"/>
        <v>0.28734083719872339</v>
      </c>
      <c r="J1630" s="1">
        <f t="shared" si="1010"/>
        <v>0.31229756006748649</v>
      </c>
      <c r="K1630" s="1">
        <f t="shared" si="1010"/>
        <v>0.33888629555919103</v>
      </c>
    </row>
    <row r="1631" spans="2:11" x14ac:dyDescent="0.25">
      <c r="B1631" t="str">
        <f t="shared" si="973"/>
        <v>SPS2</v>
      </c>
      <c r="C1631" t="str">
        <f t="shared" si="982"/>
        <v>CH</v>
      </c>
      <c r="D1631" t="s">
        <v>1637</v>
      </c>
      <c r="E1631" t="str">
        <f t="shared" si="1009"/>
        <v>km/MJ</v>
      </c>
      <c r="F1631" s="1">
        <f>IFERROR(F1621/F1596,"-")</f>
        <v>0.17445873125089909</v>
      </c>
      <c r="G1631" s="1">
        <f t="shared" ref="G1631:K1631" si="1011">IFERROR(G1621/G1596,"-")</f>
        <v>0.17535531056004217</v>
      </c>
      <c r="H1631" s="1">
        <f t="shared" si="1011"/>
        <v>0.17539045468536751</v>
      </c>
      <c r="I1631" s="1">
        <f t="shared" si="1011"/>
        <v>0.17611176401659256</v>
      </c>
      <c r="J1631" s="1">
        <f t="shared" si="1011"/>
        <v>0.2027658868906709</v>
      </c>
      <c r="K1631" s="1">
        <f t="shared" si="1011"/>
        <v>0.21650198495442127</v>
      </c>
    </row>
    <row r="1632" spans="2:11" x14ac:dyDescent="0.25">
      <c r="B1632" t="str">
        <f t="shared" si="973"/>
        <v>SPS2</v>
      </c>
      <c r="C1632" t="str">
        <f t="shared" si="982"/>
        <v>CH</v>
      </c>
      <c r="D1632" t="s">
        <v>1638</v>
      </c>
      <c r="E1632" t="str">
        <f t="shared" si="1009"/>
        <v>km/MJ</v>
      </c>
      <c r="F1632" s="1" t="str">
        <f>IFERROR(F1622/F1602,"-")</f>
        <v>-</v>
      </c>
      <c r="G1632" s="1" t="str">
        <f t="shared" ref="G1632:K1632" si="1012">IFERROR(G1622/G1602,"-")</f>
        <v>-</v>
      </c>
      <c r="H1632" s="1" t="str">
        <f t="shared" si="1012"/>
        <v>-</v>
      </c>
      <c r="I1632" s="1" t="str">
        <f t="shared" si="1012"/>
        <v>-</v>
      </c>
      <c r="J1632" s="1" t="str">
        <f t="shared" si="1012"/>
        <v>-</v>
      </c>
      <c r="K1632" s="1" t="str">
        <f t="shared" si="1012"/>
        <v>-</v>
      </c>
    </row>
    <row r="1633" spans="2:11" x14ac:dyDescent="0.25">
      <c r="B1633" t="str">
        <f t="shared" si="973"/>
        <v>SPS2</v>
      </c>
      <c r="C1633" t="str">
        <f t="shared" si="982"/>
        <v>CH</v>
      </c>
      <c r="D1633" t="s">
        <v>1639</v>
      </c>
      <c r="E1633" t="str">
        <f t="shared" si="1009"/>
        <v>km/MJ</v>
      </c>
      <c r="F1633" s="1" t="str">
        <f>IFERROR(F1623/F1603,"-")</f>
        <v>-</v>
      </c>
      <c r="G1633" s="1" t="str">
        <f t="shared" ref="G1633:K1633" si="1013">IFERROR(G1623/G1603,"-")</f>
        <v>-</v>
      </c>
      <c r="H1633" s="1" t="str">
        <f t="shared" si="1013"/>
        <v>-</v>
      </c>
      <c r="I1633" s="1" t="str">
        <f t="shared" si="1013"/>
        <v>-</v>
      </c>
      <c r="J1633" s="1" t="str">
        <f t="shared" si="1013"/>
        <v>-</v>
      </c>
      <c r="K1633" s="1" t="str">
        <f t="shared" si="1013"/>
        <v>-</v>
      </c>
    </row>
    <row r="1634" spans="2:11" x14ac:dyDescent="0.25">
      <c r="B1634" t="str">
        <f t="shared" si="973"/>
        <v>SPS2</v>
      </c>
      <c r="C1634" t="str">
        <f t="shared" si="982"/>
        <v>CH</v>
      </c>
      <c r="D1634" t="s">
        <v>1640</v>
      </c>
      <c r="E1634" t="str">
        <f t="shared" si="1009"/>
        <v>km/MJ</v>
      </c>
      <c r="F1634" s="1">
        <f>IFERROR(F1624/F1609,"-")</f>
        <v>8.1953661871669831E-2</v>
      </c>
      <c r="G1634" s="1">
        <f t="shared" ref="G1634:K1634" si="1014">IFERROR(G1624/G1609,"-")</f>
        <v>8.3996210615660385E-2</v>
      </c>
      <c r="H1634" s="1">
        <f t="shared" si="1014"/>
        <v>8.7060033731646044E-2</v>
      </c>
      <c r="I1634" s="1">
        <f t="shared" si="1014"/>
        <v>8.7060033731646003E-2</v>
      </c>
      <c r="J1634" s="1" t="str">
        <f t="shared" si="1014"/>
        <v>-</v>
      </c>
      <c r="K1634" s="1" t="str">
        <f t="shared" si="1014"/>
        <v>-</v>
      </c>
    </row>
    <row r="1635" spans="2:11" x14ac:dyDescent="0.25">
      <c r="B1635" t="str">
        <f t="shared" si="973"/>
        <v>SPS2</v>
      </c>
      <c r="C1635" t="str">
        <f t="shared" si="982"/>
        <v>CH</v>
      </c>
      <c r="D1635" t="s">
        <v>1641</v>
      </c>
      <c r="E1635" t="str">
        <f t="shared" si="1009"/>
        <v>km/MJ</v>
      </c>
      <c r="F1635" s="1">
        <f>IFERROR(F1625/F1610,"-")</f>
        <v>0.11870351496053513</v>
      </c>
      <c r="G1635" s="1">
        <f t="shared" ref="G1635:K1635" si="1015">IFERROR(G1625/G1610,"-")</f>
        <v>0.11870351496053494</v>
      </c>
      <c r="H1635" s="1">
        <f t="shared" si="1015"/>
        <v>0.11870351496053497</v>
      </c>
      <c r="I1635" s="1">
        <f t="shared" si="1015"/>
        <v>0.11870351496053494</v>
      </c>
      <c r="J1635" s="1">
        <f t="shared" si="1015"/>
        <v>0.11870351496053504</v>
      </c>
      <c r="K1635" s="1">
        <f t="shared" si="1015"/>
        <v>0.11870351496053498</v>
      </c>
    </row>
    <row r="1636" spans="2:11" x14ac:dyDescent="0.25">
      <c r="B1636" t="str">
        <f t="shared" si="973"/>
        <v>SPS2</v>
      </c>
      <c r="C1636" t="str">
        <f t="shared" si="982"/>
        <v>CH</v>
      </c>
      <c r="D1636" t="s">
        <v>1642</v>
      </c>
      <c r="E1636" t="str">
        <f t="shared" si="1009"/>
        <v>km/MJ</v>
      </c>
      <c r="F1636" s="1" t="str">
        <f>IFERROR(F1626/F1611,"-")</f>
        <v>-</v>
      </c>
      <c r="G1636" s="1">
        <f t="shared" ref="G1636:K1636" si="1016">IFERROR(G1626/G1611,"-")</f>
        <v>0.16346685209675799</v>
      </c>
      <c r="H1636" s="1">
        <f t="shared" si="1016"/>
        <v>0.16346685209675782</v>
      </c>
      <c r="I1636" s="1">
        <f t="shared" si="1016"/>
        <v>0.16346685209675776</v>
      </c>
      <c r="J1636" s="1">
        <f t="shared" si="1016"/>
        <v>0.16346685209675801</v>
      </c>
      <c r="K1636" s="1">
        <f t="shared" si="1016"/>
        <v>0.16346685209675801</v>
      </c>
    </row>
    <row r="1637" spans="2:11" x14ac:dyDescent="0.25">
      <c r="B1637" t="str">
        <f t="shared" si="973"/>
        <v>SPS2</v>
      </c>
      <c r="C1637" t="str">
        <f t="shared" si="982"/>
        <v>CH</v>
      </c>
      <c r="D1637" t="s">
        <v>1643</v>
      </c>
      <c r="E1637" t="str">
        <f t="shared" si="1009"/>
        <v>km/MJ</v>
      </c>
      <c r="F1637" s="1">
        <f>IFERROR(F1627/F1617,"-")</f>
        <v>0.10322365358776012</v>
      </c>
      <c r="G1637" s="1">
        <f t="shared" ref="G1637:K1637" si="1017">IFERROR(G1627/G1617,"-")</f>
        <v>0.10346197521901425</v>
      </c>
      <c r="H1637" s="1">
        <f t="shared" si="1017"/>
        <v>0.10381033273156046</v>
      </c>
      <c r="I1637" s="1">
        <f t="shared" si="1017"/>
        <v>0.10732679664965365</v>
      </c>
      <c r="J1637" s="1">
        <f t="shared" si="1017"/>
        <v>0.11803980387278823</v>
      </c>
      <c r="K1637" s="1">
        <f t="shared" si="1017"/>
        <v>0.12104868269193497</v>
      </c>
    </row>
    <row r="1638" spans="2:11" x14ac:dyDescent="0.25">
      <c r="B1638" s="2" t="str">
        <f t="shared" si="973"/>
        <v>SPS2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28.743324371856311</v>
      </c>
      <c r="G1638" s="1">
        <f t="shared" ref="G1638:K1638" si="1018">G1639+G1643+G1647+G1653</f>
        <v>28.032435885856444</v>
      </c>
      <c r="H1638" s="1">
        <f t="shared" si="1018"/>
        <v>24.114329046689473</v>
      </c>
      <c r="I1638" s="1">
        <f t="shared" si="1018"/>
        <v>20.261113984008237</v>
      </c>
      <c r="J1638" s="1">
        <f t="shared" si="1018"/>
        <v>28.080971655825664</v>
      </c>
      <c r="K1638" s="1">
        <f t="shared" si="1018"/>
        <v>28.975842400416635</v>
      </c>
    </row>
    <row r="1639" spans="2:11" x14ac:dyDescent="0.25">
      <c r="B1639" t="str">
        <f t="shared" si="973"/>
        <v>SPS2</v>
      </c>
      <c r="C1639" t="str">
        <f t="shared" ref="C1639:C1682" si="1019">C1638</f>
        <v>CH</v>
      </c>
      <c r="D1639" t="s">
        <v>1653</v>
      </c>
      <c r="E1639" t="s">
        <v>8</v>
      </c>
      <c r="F1639" s="1">
        <f>SUM(F1640:F1642)</f>
        <v>9.2070290827503971</v>
      </c>
      <c r="G1639" s="1">
        <f t="shared" ref="G1639:K1639" si="1020">SUM(G1640:G1642)</f>
        <v>9.4952394283003247</v>
      </c>
      <c r="H1639" s="1">
        <f t="shared" si="1020"/>
        <v>11.980638022038001</v>
      </c>
      <c r="I1639" s="1">
        <f t="shared" si="1020"/>
        <v>14.892656089515633</v>
      </c>
      <c r="J1639" s="1">
        <f t="shared" si="1020"/>
        <v>11.737408703940446</v>
      </c>
      <c r="K1639" s="1">
        <f t="shared" si="1020"/>
        <v>12.632925075847275</v>
      </c>
    </row>
    <row r="1640" spans="2:11" x14ac:dyDescent="0.25">
      <c r="B1640" t="str">
        <f t="shared" si="973"/>
        <v>SPS2</v>
      </c>
      <c r="C1640" t="str">
        <f t="shared" si="1019"/>
        <v>CH</v>
      </c>
      <c r="D1640" t="s">
        <v>1654</v>
      </c>
      <c r="E1640" t="str">
        <f t="shared" ref="E1640:E1642" si="1021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8.7116871472458097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9.7092177744119432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10.452476074997783</v>
      </c>
    </row>
    <row r="1641" spans="2:11" x14ac:dyDescent="0.25">
      <c r="B1641" t="str">
        <f t="shared" si="973"/>
        <v>SPS2</v>
      </c>
      <c r="C1641" t="str">
        <f t="shared" si="1019"/>
        <v>CH</v>
      </c>
      <c r="D1641" t="s">
        <v>1655</v>
      </c>
      <c r="E1641" t="str">
        <f t="shared" si="1021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1.502309069649451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1.5893335824291519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1.7461482513799136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1.894316683701641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2.0281772887284961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2.180437641846324</v>
      </c>
    </row>
    <row r="1642" spans="2:11" x14ac:dyDescent="0.25">
      <c r="B1642" t="str">
        <f t="shared" si="973"/>
        <v>SPS2</v>
      </c>
      <c r="C1642" t="str">
        <f t="shared" si="1019"/>
        <v>CH</v>
      </c>
      <c r="D1642" t="s">
        <v>1656</v>
      </c>
      <c r="E1642" t="str">
        <f t="shared" si="1021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4.0902025072798448E-7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2.0265883183537334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4.2866522585681812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1.3640800005947994E-5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1.1359003167479233E-5</v>
      </c>
    </row>
    <row r="1643" spans="2:11" x14ac:dyDescent="0.25">
      <c r="B1643" t="str">
        <f t="shared" si="973"/>
        <v>SPS2</v>
      </c>
      <c r="C1643" t="str">
        <f t="shared" si="1019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22">SUM(G1644:G1646)</f>
        <v>0</v>
      </c>
      <c r="H1643" s="1">
        <f t="shared" si="1022"/>
        <v>0</v>
      </c>
      <c r="I1643" s="1">
        <f t="shared" si="1022"/>
        <v>0.29222690563894899</v>
      </c>
      <c r="J1643" s="1">
        <f t="shared" si="1022"/>
        <v>2.9603553082053894E-4</v>
      </c>
      <c r="K1643" s="1">
        <f t="shared" si="1022"/>
        <v>1.9048593458924858E-4</v>
      </c>
    </row>
    <row r="1644" spans="2:11" x14ac:dyDescent="0.25">
      <c r="B1644" t="str">
        <f t="shared" si="973"/>
        <v>SPS2</v>
      </c>
      <c r="C1644" t="str">
        <f t="shared" si="1019"/>
        <v>CH</v>
      </c>
      <c r="D1644" t="s">
        <v>1658</v>
      </c>
      <c r="E1644" t="str">
        <f t="shared" ref="E1644:E1646" si="1023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1.4195211050867121E-4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1.0682923267815785E-4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1.0604478709609151E-4</v>
      </c>
    </row>
    <row r="1645" spans="2:11" x14ac:dyDescent="0.25">
      <c r="B1645" t="str">
        <f t="shared" si="973"/>
        <v>SPS2</v>
      </c>
      <c r="C1645" t="str">
        <f t="shared" si="1019"/>
        <v>CH</v>
      </c>
      <c r="D1645" t="s">
        <v>1659</v>
      </c>
      <c r="E1645" t="str">
        <f t="shared" si="1023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5.0576709247386826E-5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1.0806664113396964E-4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8.3992356095234197E-5</v>
      </c>
    </row>
    <row r="1646" spans="2:11" x14ac:dyDescent="0.25">
      <c r="B1646" t="str">
        <f t="shared" si="973"/>
        <v>SPS2</v>
      </c>
      <c r="C1646" t="str">
        <f t="shared" si="1019"/>
        <v>CH</v>
      </c>
      <c r="D1646" t="s">
        <v>1660</v>
      </c>
      <c r="E1646" t="str">
        <f t="shared" si="1023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0.29203437681919292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8.1139657008411458E-5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4.4879139792285634E-7</v>
      </c>
    </row>
    <row r="1647" spans="2:11" x14ac:dyDescent="0.25">
      <c r="B1647" t="str">
        <f t="shared" si="973"/>
        <v>SPS2</v>
      </c>
      <c r="C1647" t="str">
        <f t="shared" si="1019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24">G1652</f>
        <v>1.7597943822495519</v>
      </c>
      <c r="H1647" s="1">
        <f t="shared" si="1024"/>
        <v>1.0628538187372821E-4</v>
      </c>
      <c r="I1647" s="1">
        <f t="shared" si="1024"/>
        <v>6.3054091651125162E-5</v>
      </c>
      <c r="J1647" s="1">
        <f t="shared" si="1024"/>
        <v>1.3828408838644667E-4</v>
      </c>
      <c r="K1647" s="1">
        <f t="shared" si="1024"/>
        <v>0</v>
      </c>
    </row>
    <row r="1648" spans="2:11" x14ac:dyDescent="0.25">
      <c r="B1648" t="str">
        <f t="shared" si="973"/>
        <v>SPS2</v>
      </c>
      <c r="C1648" t="str">
        <f t="shared" si="1019"/>
        <v>CH</v>
      </c>
      <c r="D1648" t="s">
        <v>1662</v>
      </c>
      <c r="E1648" t="str">
        <f t="shared" ref="E1648:E1660" si="1025">E1647</f>
        <v>PJ/yr.</v>
      </c>
      <c r="F1648" s="1">
        <f>F1647-F1649</f>
        <v>1.6634758918073602</v>
      </c>
      <c r="G1648" s="1">
        <f t="shared" ref="G1648:K1648" si="1026">G1647-G1649</f>
        <v>1.6634602557980038</v>
      </c>
      <c r="H1648" s="1">
        <f t="shared" si="1026"/>
        <v>1.0046693303829918E-4</v>
      </c>
      <c r="I1648" s="1">
        <f t="shared" si="1026"/>
        <v>5.8280508534819023E-5</v>
      </c>
      <c r="J1648" s="1">
        <f t="shared" si="1026"/>
        <v>1.0477549009799104E-4</v>
      </c>
      <c r="K1648" s="1">
        <f t="shared" si="1026"/>
        <v>0</v>
      </c>
    </row>
    <row r="1649" spans="2:11" x14ac:dyDescent="0.25">
      <c r="B1649" t="str">
        <f t="shared" si="973"/>
        <v>SPS2</v>
      </c>
      <c r="C1649" t="str">
        <f t="shared" si="1019"/>
        <v>CH</v>
      </c>
      <c r="D1649" t="s">
        <v>1663</v>
      </c>
      <c r="E1649" t="str">
        <f t="shared" si="1025"/>
        <v>PJ/yr.</v>
      </c>
      <c r="F1649" s="1">
        <f>SUM(F1650:F1651)</f>
        <v>9.6331871920997819E-2</v>
      </c>
      <c r="G1649" s="1">
        <f t="shared" ref="G1649:K1649" si="1027">SUM(G1650:G1651)</f>
        <v>9.6334126451548013E-2</v>
      </c>
      <c r="H1649" s="1">
        <f t="shared" si="1027"/>
        <v>5.818448835429036E-6</v>
      </c>
      <c r="I1649" s="1">
        <f t="shared" si="1027"/>
        <v>4.7735831163061394E-6</v>
      </c>
      <c r="J1649" s="1">
        <f t="shared" si="1027"/>
        <v>3.3508598288455634E-5</v>
      </c>
      <c r="K1649" s="1">
        <f t="shared" si="1027"/>
        <v>0</v>
      </c>
    </row>
    <row r="1650" spans="2:11" x14ac:dyDescent="0.25">
      <c r="B1650" t="str">
        <f t="shared" si="973"/>
        <v>SPS2</v>
      </c>
      <c r="C1650" t="str">
        <f t="shared" si="1019"/>
        <v>CH</v>
      </c>
      <c r="D1650" t="s">
        <v>1664</v>
      </c>
      <c r="E1650" t="str">
        <f t="shared" si="1025"/>
        <v>PJ/yr.</v>
      </c>
      <c r="F1650" s="1">
        <f>[1]Transport!B$25/SUM([1]Transport!B$21,[1]Transport!B$25)*F1647*(F$34+F$598)/(F$34+F$598+F$37)</f>
        <v>9.6331871920997819E-2</v>
      </c>
      <c r="G1650" s="1">
        <f>[1]Transport!C$25/SUM([1]Transport!C$21,[1]Transport!C$25)*G1647*(G$34+G$598)/(G$34+G$598+G$37)</f>
        <v>9.6334126451548013E-2</v>
      </c>
      <c r="H1650" s="1">
        <f>[1]Transport!D$25/SUM([1]Transport!D$21,[1]Transport!D$25)*H1647*(H$34+H$598)/(H$34+H$598+H$37)</f>
        <v>5.818448835429036E-6</v>
      </c>
      <c r="I1650" s="1">
        <f>[1]Transport!E$25/SUM([1]Transport!E$21,[1]Transport!E$25)*I1647*(I$34+I$598)/(I$34+I$598+I$37)</f>
        <v>4.7735831163061394E-6</v>
      </c>
      <c r="J1650" s="1">
        <f>[1]Transport!F$25/SUM([1]Transport!F$21,[1]Transport!F$25)*J1647*(J$34+J$598)/(J$34+J$598+J$37)</f>
        <v>1.4907942005942051E-5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973"/>
        <v>SPS2</v>
      </c>
      <c r="C1651" t="str">
        <f t="shared" si="1019"/>
        <v>CH</v>
      </c>
      <c r="D1651" t="s">
        <v>1665</v>
      </c>
      <c r="E1651" t="str">
        <f t="shared" si="1025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1.8600656282513582E-5</v>
      </c>
      <c r="K1651" s="1">
        <f>(K$37+K$717)/([1]Transport!G$21+[1]Transport!G$25)*K1647</f>
        <v>0</v>
      </c>
    </row>
    <row r="1652" spans="2:11" x14ac:dyDescent="0.25">
      <c r="B1652" t="str">
        <f t="shared" ref="B1652:B1715" si="1028">B1651</f>
        <v>SPS2</v>
      </c>
      <c r="C1652" t="str">
        <f t="shared" si="1019"/>
        <v>CH</v>
      </c>
      <c r="D1652" t="s">
        <v>1666</v>
      </c>
      <c r="E1652" t="str">
        <f t="shared" si="1025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1.7597943822495519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1.0628538187372821E-4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6.3054091651125162E-5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1.3828408838644667E-4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28"/>
        <v>SPS2</v>
      </c>
      <c r="C1653" t="str">
        <f t="shared" si="1019"/>
        <v>CH</v>
      </c>
      <c r="D1653" t="s">
        <v>1667</v>
      </c>
      <c r="E1653" t="str">
        <f t="shared" si="1025"/>
        <v>PJ/yr.</v>
      </c>
      <c r="F1653" s="1">
        <f>SUM(F1658:F1660)</f>
        <v>17.776487525377558</v>
      </c>
      <c r="G1653" s="1">
        <f t="shared" ref="G1653:K1653" si="1029">SUM(G1658:G1660)</f>
        <v>16.777402075306565</v>
      </c>
      <c r="H1653" s="1">
        <f t="shared" si="1029"/>
        <v>12.133584739269599</v>
      </c>
      <c r="I1653" s="1">
        <f t="shared" si="1029"/>
        <v>5.0761679347620046</v>
      </c>
      <c r="J1653" s="1">
        <f t="shared" si="1029"/>
        <v>16.343128632266012</v>
      </c>
      <c r="K1653" s="1">
        <f t="shared" si="1029"/>
        <v>16.342726838634771</v>
      </c>
    </row>
    <row r="1654" spans="2:11" x14ac:dyDescent="0.25">
      <c r="B1654" t="str">
        <f t="shared" si="1028"/>
        <v>SPS2</v>
      </c>
      <c r="C1654" t="str">
        <f t="shared" si="1019"/>
        <v>CH</v>
      </c>
      <c r="D1654" t="s">
        <v>1668</v>
      </c>
      <c r="E1654" t="str">
        <f t="shared" si="1025"/>
        <v>PJ/yr.</v>
      </c>
      <c r="F1654" s="1">
        <f>F1653-F1655</f>
        <v>17.359762266077425</v>
      </c>
      <c r="G1654" s="1">
        <f t="shared" ref="G1654:K1654" si="1030">G1653-G1655</f>
        <v>16.340173354089529</v>
      </c>
      <c r="H1654" s="1">
        <f t="shared" si="1030"/>
        <v>11.714289169299418</v>
      </c>
      <c r="I1654" s="1">
        <f t="shared" si="1030"/>
        <v>4.8231841379144855</v>
      </c>
      <c r="J1654" s="1">
        <f t="shared" si="1030"/>
        <v>13.092166258490639</v>
      </c>
      <c r="K1654" s="1">
        <f t="shared" si="1030"/>
        <v>-0.74771903107783899</v>
      </c>
    </row>
    <row r="1655" spans="2:11" x14ac:dyDescent="0.25">
      <c r="B1655" t="str">
        <f t="shared" si="1028"/>
        <v>SPS2</v>
      </c>
      <c r="C1655" t="str">
        <f t="shared" si="1019"/>
        <v>CH</v>
      </c>
      <c r="D1655" t="s">
        <v>1669</v>
      </c>
      <c r="E1655" t="str">
        <f t="shared" si="1025"/>
        <v>PJ/yr.</v>
      </c>
      <c r="F1655" s="1">
        <f>SUM(F1656:F1657)</f>
        <v>0.41672525930013427</v>
      </c>
      <c r="G1655" s="1">
        <f t="shared" ref="G1655:K1655" si="1031">SUM(G1656:G1657)</f>
        <v>0.43722872121703449</v>
      </c>
      <c r="H1655" s="1">
        <f t="shared" si="1031"/>
        <v>0.41929556997018141</v>
      </c>
      <c r="I1655" s="1">
        <f t="shared" si="1031"/>
        <v>0.25298379684751904</v>
      </c>
      <c r="J1655" s="1">
        <f t="shared" si="1031"/>
        <v>3.2509623737753728</v>
      </c>
      <c r="K1655" s="1">
        <f t="shared" si="1031"/>
        <v>17.09044586971261</v>
      </c>
    </row>
    <row r="1656" spans="2:11" x14ac:dyDescent="0.25">
      <c r="B1656" t="str">
        <f t="shared" si="1028"/>
        <v>SPS2</v>
      </c>
      <c r="C1656" t="str">
        <f t="shared" si="1019"/>
        <v>CH</v>
      </c>
      <c r="D1656" t="s">
        <v>1670</v>
      </c>
      <c r="E1656" t="str">
        <f t="shared" si="1025"/>
        <v>PJ/yr.</v>
      </c>
      <c r="F1656" s="1">
        <f>[1]Transport!B$26/SUM([1]Transport!B$22,[1]Transport!B$26)*F1653*(F$33+F$580)/(F$33+F$580+F$36)</f>
        <v>0.41672525930013427</v>
      </c>
      <c r="G1656" s="1">
        <f>[1]Transport!C$26/SUM([1]Transport!C$22,[1]Transport!C$26)*G1653*(G$33+G$580)/(G$33+G$580+G$36)</f>
        <v>0.43722872121703449</v>
      </c>
      <c r="H1656" s="1">
        <f>[1]Transport!D$26/SUM([1]Transport!D$22,[1]Transport!D$26)*H1653*(H$33+H$580)/(H$33+H$580+H$36)</f>
        <v>0.41929556997018141</v>
      </c>
      <c r="I1656" s="1">
        <f>[1]Transport!E$26/SUM([1]Transport!E$22,[1]Transport!E$26)*I1653*(I$33+I$580)/(I$33+I$580+I$36)</f>
        <v>0.25298379684751904</v>
      </c>
      <c r="J1656" s="1">
        <f>[1]Transport!F$26/SUM([1]Transport!F$22,[1]Transport!F$26)*J1653*(J$33+J$580)/(J$33+J$580+J$36)</f>
        <v>1.343552968976564</v>
      </c>
      <c r="K1656" s="1">
        <f>[1]Transport!G$26/SUM([1]Transport!G$22,[1]Transport!G$26)*K1653*(K$33+K$580)/(K$33+K$580+K$36)</f>
        <v>4.0935305647005293</v>
      </c>
    </row>
    <row r="1657" spans="2:11" x14ac:dyDescent="0.25">
      <c r="B1657" t="str">
        <f t="shared" si="1028"/>
        <v>SPS2</v>
      </c>
      <c r="C1657" t="str">
        <f t="shared" si="1019"/>
        <v>CH</v>
      </c>
      <c r="D1657" t="s">
        <v>1671</v>
      </c>
      <c r="E1657" t="str">
        <f t="shared" si="1025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1.9074094047988086</v>
      </c>
      <c r="K1657" s="1">
        <f>(K$36+K$716)/([1]Transport!G$22+[1]Transport!G$26)*K1653</f>
        <v>12.996915305012079</v>
      </c>
    </row>
    <row r="1658" spans="2:11" x14ac:dyDescent="0.25">
      <c r="B1658" t="str">
        <f t="shared" si="1028"/>
        <v>SPS2</v>
      </c>
      <c r="C1658" t="str">
        <f t="shared" si="1019"/>
        <v>CH</v>
      </c>
      <c r="D1658" t="s">
        <v>1672</v>
      </c>
      <c r="E1658" t="str">
        <f t="shared" si="1025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28"/>
        <v>SPS2</v>
      </c>
      <c r="C1659" t="str">
        <f t="shared" si="1019"/>
        <v>CH</v>
      </c>
      <c r="D1659" t="s">
        <v>1673</v>
      </c>
      <c r="E1659" t="str">
        <f t="shared" si="1025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0.3960897190428474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0.2816360509008729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8.3327422725334229E-4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8.7596208869216322E-5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1.0192579489039995E-4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28"/>
        <v>SPS2</v>
      </c>
      <c r="C1660" t="str">
        <f t="shared" si="1019"/>
        <v>CH</v>
      </c>
      <c r="D1660" t="s">
        <v>1674</v>
      </c>
      <c r="E1660" t="str">
        <f t="shared" si="1025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16.495766024405693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12.132751465042347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5.076080338553135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16.343026706471122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16.342726838634771</v>
      </c>
    </row>
    <row r="1661" spans="2:11" x14ac:dyDescent="0.25">
      <c r="B1661" s="2" t="str">
        <f t="shared" si="1028"/>
        <v>SPS2</v>
      </c>
      <c r="C1661" s="2" t="str">
        <f t="shared" si="1019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si="1028"/>
        <v>SPS2</v>
      </c>
      <c r="C1662" t="str">
        <f t="shared" si="1019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0.22016734788309034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0.24502300726367154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0.26339824655526262</v>
      </c>
    </row>
    <row r="1663" spans="2:11" x14ac:dyDescent="0.25">
      <c r="B1663" t="str">
        <f t="shared" si="1028"/>
        <v>SPS2</v>
      </c>
      <c r="C1663" t="str">
        <f t="shared" si="1019"/>
        <v>CH</v>
      </c>
      <c r="D1663" t="s">
        <v>1677</v>
      </c>
      <c r="E1663" t="str">
        <f t="shared" ref="E1663:E1666" si="1032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2.5094619102923224E-2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2.654827936827308E-2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2.9167716650901291E-2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3.164272691830166E-2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3.3878738777578764E-2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3.642210062179637E-2</v>
      </c>
    </row>
    <row r="1664" spans="2:11" x14ac:dyDescent="0.25">
      <c r="B1664" t="str">
        <f t="shared" si="1028"/>
        <v>SPS2</v>
      </c>
      <c r="C1664" t="str">
        <f t="shared" si="1019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1.0092130099484E-6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5.0003863941989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10.5768485075541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3.3657191319023998E-5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2.8027105641497701E-5</v>
      </c>
    </row>
    <row r="1665" spans="2:11" x14ac:dyDescent="0.25">
      <c r="B1665" t="str">
        <f t="shared" si="1028"/>
        <v>SPS2</v>
      </c>
      <c r="C1665" t="str">
        <f t="shared" si="1019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2.3512507860940857E-6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1.91671767970508E-6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2.0487934923744998E-6</v>
      </c>
    </row>
    <row r="1666" spans="2:11" x14ac:dyDescent="0.25">
      <c r="B1666" t="str">
        <f t="shared" si="1028"/>
        <v>SPS2</v>
      </c>
      <c r="C1666" t="str">
        <f t="shared" si="1019"/>
        <v>CH</v>
      </c>
      <c r="D1666" t="s">
        <v>1680</v>
      </c>
      <c r="E1666" t="str">
        <f t="shared" si="1032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4.3797640617145053E-7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7.8854855528221497E-7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4.9841902566715962E-7</v>
      </c>
    </row>
    <row r="1667" spans="2:11" x14ac:dyDescent="0.25">
      <c r="B1667" t="str">
        <f t="shared" si="1028"/>
        <v>SPS2</v>
      </c>
      <c r="C1667" t="str">
        <f t="shared" si="1019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0.52375730625181405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1.45522210938999E-4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8.0489761583991103E-7</v>
      </c>
    </row>
    <row r="1668" spans="2:11" x14ac:dyDescent="0.25">
      <c r="B1668" t="str">
        <f t="shared" si="1028"/>
        <v>SPS2</v>
      </c>
      <c r="C1668" t="str">
        <f t="shared" si="1019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1.5950992190806199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9.6338374151275403E-5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5.7153002286539203E-5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1.2534239432821301E-4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28"/>
        <v>SPS2</v>
      </c>
      <c r="C1669" t="str">
        <f t="shared" si="1019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28"/>
        <v>SPS2</v>
      </c>
      <c r="C1670" t="str">
        <f t="shared" si="1019"/>
        <v>CH</v>
      </c>
      <c r="D1670" t="s">
        <v>1684</v>
      </c>
      <c r="E1670" t="str">
        <f t="shared" ref="E1670" si="1033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1.6053808970767727E-3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1.141491723483724E-3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3.377322011011895E-6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3.5503390674922982E-7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4.1311277766013617E-7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28"/>
        <v>SPS2</v>
      </c>
      <c r="C1671" t="str">
        <f t="shared" si="1019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16.3022670623659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11.990431622987201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5.0165368002119699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16.151319410210199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16.1510230598895</v>
      </c>
    </row>
    <row r="1672" spans="2:11" x14ac:dyDescent="0.25">
      <c r="B1672" s="2" t="str">
        <f t="shared" si="1028"/>
        <v>SPS2</v>
      </c>
      <c r="C1672" s="2" t="str">
        <f t="shared" si="1019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28"/>
        <v>SPS2</v>
      </c>
      <c r="C1673" t="str">
        <f t="shared" si="1019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34">IFERROR(G1662/G1640,"-")</f>
        <v>2.5301857215832019E-2</v>
      </c>
      <c r="H1673" s="7">
        <f t="shared" si="1034"/>
        <v>2.5290901397750198E-2</v>
      </c>
      <c r="I1673" s="7">
        <f t="shared" si="1034"/>
        <v>2.5272641700947215E-2</v>
      </c>
      <c r="J1673" s="7">
        <f t="shared" si="1034"/>
        <v>2.5236122307341263E-2</v>
      </c>
      <c r="K1673" s="7">
        <f t="shared" si="1034"/>
        <v>2.5199602913735297E-2</v>
      </c>
    </row>
    <row r="1674" spans="2:11" x14ac:dyDescent="0.25">
      <c r="B1674" t="str">
        <f t="shared" si="1028"/>
        <v>SPS2</v>
      </c>
      <c r="C1674" t="str">
        <f t="shared" si="1019"/>
        <v>CH</v>
      </c>
      <c r="D1674" t="s">
        <v>1688</v>
      </c>
      <c r="E1674" t="s">
        <v>1230</v>
      </c>
      <c r="F1674" s="7">
        <f>IFERROR(F1663/F1641,"-")</f>
        <v>1.6704032219401303E-2</v>
      </c>
      <c r="G1674" s="7">
        <f t="shared" ref="G1674:K1674" si="1035">IFERROR(G1663/G1641,"-")</f>
        <v>1.6704032219401321E-2</v>
      </c>
      <c r="H1674" s="7">
        <f t="shared" si="1035"/>
        <v>1.6704032219401286E-2</v>
      </c>
      <c r="I1674" s="7">
        <f t="shared" si="1035"/>
        <v>1.6704032219401314E-2</v>
      </c>
      <c r="J1674" s="7">
        <f t="shared" si="1035"/>
        <v>1.6704032219401296E-2</v>
      </c>
      <c r="K1674" s="7">
        <f t="shared" si="1035"/>
        <v>1.6704032219401293E-2</v>
      </c>
    </row>
    <row r="1675" spans="2:11" x14ac:dyDescent="0.25">
      <c r="B1675" t="str">
        <f t="shared" si="1028"/>
        <v>SPS2</v>
      </c>
      <c r="C1675" t="str">
        <f t="shared" si="1019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36">IFERROR(G1664/G1642,"-")</f>
        <v>2.4673913043478346</v>
      </c>
      <c r="H1675">
        <f t="shared" si="1036"/>
        <v>2.4673913043478333</v>
      </c>
      <c r="I1675">
        <f t="shared" si="1036"/>
        <v>2.4673913043478262</v>
      </c>
      <c r="J1675">
        <f t="shared" si="1036"/>
        <v>2.4673913043478364</v>
      </c>
      <c r="K1675">
        <f t="shared" si="1036"/>
        <v>2.4673913043478284</v>
      </c>
    </row>
    <row r="1676" spans="2:11" x14ac:dyDescent="0.25">
      <c r="B1676" t="str">
        <f t="shared" si="1028"/>
        <v>SPS2</v>
      </c>
      <c r="C1676" t="str">
        <f t="shared" si="1019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37">IFERROR(G1665/G1644,"-")</f>
        <v>-</v>
      </c>
      <c r="H1676" t="str">
        <f t="shared" si="1037"/>
        <v>-</v>
      </c>
      <c r="I1676">
        <f t="shared" si="1037"/>
        <v>1.6563690230942063E-2</v>
      </c>
      <c r="J1676">
        <f t="shared" si="1037"/>
        <v>1.7941883805152235E-2</v>
      </c>
      <c r="K1676">
        <f t="shared" si="1037"/>
        <v>1.9320077379362404E-2</v>
      </c>
    </row>
    <row r="1677" spans="2:11" x14ac:dyDescent="0.25">
      <c r="B1677" t="str">
        <f t="shared" si="1028"/>
        <v>SPS2</v>
      </c>
      <c r="C1677" t="str">
        <f t="shared" si="1019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38">IFERROR(G1666/G1645,"-")</f>
        <v>-</v>
      </c>
      <c r="H1677" t="str">
        <f t="shared" si="1038"/>
        <v>-</v>
      </c>
      <c r="I1677">
        <f t="shared" si="1038"/>
        <v>8.6596461630029774E-3</v>
      </c>
      <c r="J1677">
        <f t="shared" si="1038"/>
        <v>7.2968729943651668E-3</v>
      </c>
      <c r="K1677">
        <f t="shared" si="1038"/>
        <v>5.9340998257273597E-3</v>
      </c>
    </row>
    <row r="1678" spans="2:11" x14ac:dyDescent="0.25">
      <c r="B1678" t="str">
        <f t="shared" si="1028"/>
        <v>SPS2</v>
      </c>
      <c r="C1678" t="str">
        <f t="shared" si="1019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39">IFERROR(G1667/G1646,"-")</f>
        <v>-</v>
      </c>
      <c r="H1678" t="str">
        <f t="shared" si="1039"/>
        <v>-</v>
      </c>
      <c r="I1678">
        <f t="shared" si="1039"/>
        <v>1.7934782608695674</v>
      </c>
      <c r="J1678">
        <f t="shared" si="1039"/>
        <v>1.7934782608695674</v>
      </c>
      <c r="K1678">
        <f t="shared" si="1039"/>
        <v>1.7934782608695778</v>
      </c>
    </row>
    <row r="1679" spans="2:11" x14ac:dyDescent="0.25">
      <c r="B1679" t="str">
        <f t="shared" si="1028"/>
        <v>SPS2</v>
      </c>
      <c r="C1679" t="str">
        <f t="shared" si="1019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40">IFERROR(G1668/G1652,"-")</f>
        <v>0.90641226905247785</v>
      </c>
      <c r="H1679" s="4">
        <f t="shared" si="1040"/>
        <v>0.90641226905248085</v>
      </c>
      <c r="I1679" s="4">
        <f t="shared" si="1040"/>
        <v>0.90641226905247696</v>
      </c>
      <c r="J1679" s="4">
        <f t="shared" si="1040"/>
        <v>0.90641226905248129</v>
      </c>
      <c r="K1679" s="4" t="str">
        <f t="shared" si="1040"/>
        <v>-</v>
      </c>
    </row>
    <row r="1680" spans="2:11" x14ac:dyDescent="0.25">
      <c r="B1680" t="str">
        <f t="shared" si="1028"/>
        <v>SPS2</v>
      </c>
      <c r="C1680" t="str">
        <f t="shared" si="1019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41">IFERROR(G1669/G1658,"-")</f>
        <v>-</v>
      </c>
      <c r="H1680" t="str">
        <f t="shared" si="1041"/>
        <v>-</v>
      </c>
      <c r="I1680" t="str">
        <f t="shared" si="1041"/>
        <v>-</v>
      </c>
      <c r="J1680" t="str">
        <f t="shared" si="1041"/>
        <v>-</v>
      </c>
      <c r="K1680" t="str">
        <f t="shared" si="1041"/>
        <v>-</v>
      </c>
    </row>
    <row r="1681" spans="2:11" x14ac:dyDescent="0.25">
      <c r="B1681" t="str">
        <f t="shared" si="1028"/>
        <v>SPS2</v>
      </c>
      <c r="C1681" t="str">
        <f t="shared" si="1019"/>
        <v>CH</v>
      </c>
      <c r="D1681" t="s">
        <v>1695</v>
      </c>
      <c r="E1681" t="s">
        <v>1230</v>
      </c>
      <c r="F1681" s="1">
        <f>IFERROR(F1670/F1659,"-")</f>
        <v>4.0530738867855061E-3</v>
      </c>
      <c r="G1681" s="1">
        <f t="shared" si="1041"/>
        <v>4.0530738867855147E-3</v>
      </c>
      <c r="H1681">
        <f t="shared" si="1041"/>
        <v>4.0530738867855087E-3</v>
      </c>
      <c r="I1681">
        <f t="shared" si="1041"/>
        <v>4.0530738867855087E-3</v>
      </c>
      <c r="J1681">
        <f t="shared" si="1041"/>
        <v>4.0530738867855121E-3</v>
      </c>
      <c r="K1681" t="str">
        <f t="shared" si="1041"/>
        <v>-</v>
      </c>
    </row>
    <row r="1682" spans="2:11" x14ac:dyDescent="0.25">
      <c r="B1682" t="str">
        <f t="shared" si="1028"/>
        <v>SPS2</v>
      </c>
      <c r="C1682" t="str">
        <f t="shared" si="1019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41"/>
        <v>0.98826978015125155</v>
      </c>
      <c r="H1682" s="4">
        <f t="shared" si="1041"/>
        <v>0.98826978015125366</v>
      </c>
      <c r="I1682" s="4">
        <f t="shared" si="1041"/>
        <v>0.98826978015124611</v>
      </c>
      <c r="J1682" s="4">
        <f t="shared" si="1041"/>
        <v>0.98826978015124856</v>
      </c>
      <c r="K1682" s="4">
        <f t="shared" si="1041"/>
        <v>0.98826978015124889</v>
      </c>
    </row>
    <row r="1683" spans="2:11" x14ac:dyDescent="0.25">
      <c r="B1683" s="2" t="str">
        <f t="shared" si="1028"/>
        <v>SPS2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34.400322518790865</v>
      </c>
      <c r="G1683" s="3">
        <f t="shared" ref="G1683:K1683" si="1042">SUM(G1684:G1686,G1689:G1691,-G1696)</f>
        <v>32.475184599645623</v>
      </c>
      <c r="H1683" s="3">
        <f t="shared" si="1042"/>
        <v>28.438493752517587</v>
      </c>
      <c r="I1683" s="3">
        <f t="shared" si="1042"/>
        <v>19.350668536494162</v>
      </c>
      <c r="J1683" s="3">
        <f t="shared" si="1042"/>
        <v>10.648824568963121</v>
      </c>
      <c r="K1683" s="3">
        <f t="shared" si="1042"/>
        <v>-6.8017018274162426E-7</v>
      </c>
    </row>
    <row r="1684" spans="2:11" x14ac:dyDescent="0.25">
      <c r="B1684" t="str">
        <f t="shared" si="1028"/>
        <v>SPS2</v>
      </c>
      <c r="C1684" t="str">
        <f t="shared" ref="C1684" si="1043">C1683</f>
        <v>CH</v>
      </c>
      <c r="D1684" t="s">
        <v>1703</v>
      </c>
      <c r="E1684" t="str">
        <f>E1683</f>
        <v>Mt/yr.</v>
      </c>
      <c r="F1684" s="1">
        <f>[1]Summary!B53+[1]Summary!B59</f>
        <v>2.6043561877978796</v>
      </c>
      <c r="G1684" s="1">
        <f>[1]Summary!C53+[1]Summary!C59</f>
        <v>2.4630004952467752</v>
      </c>
      <c r="H1684" s="1">
        <f>[1]Summary!D53+[1]Summary!D59</f>
        <v>2.4778080954391162</v>
      </c>
      <c r="I1684" s="1">
        <f>[1]Summary!E53+[1]Summary!E59</f>
        <v>2.5026857410115255</v>
      </c>
      <c r="J1684" s="1">
        <f>[1]Summary!F53+[1]Summary!F59</f>
        <v>1.7595491162833343</v>
      </c>
      <c r="K1684" s="1">
        <f>[1]Summary!G53+[1]Summary!G59</f>
        <v>-8.0294466816511534E-2</v>
      </c>
    </row>
    <row r="1685" spans="2:11" x14ac:dyDescent="0.25">
      <c r="B1685" t="str">
        <f t="shared" si="1028"/>
        <v>SPS2</v>
      </c>
      <c r="C1685" t="str">
        <f t="shared" ref="C1685:C1696" si="1044">C1684</f>
        <v>CH</v>
      </c>
      <c r="D1685" t="s">
        <v>1704</v>
      </c>
      <c r="E1685" t="str">
        <f t="shared" ref="E1685:E1696" si="1045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-1.7428069908732629</v>
      </c>
    </row>
    <row r="1686" spans="2:11" x14ac:dyDescent="0.25">
      <c r="B1686" t="str">
        <f t="shared" si="1028"/>
        <v>SPS2</v>
      </c>
      <c r="C1686" t="str">
        <f t="shared" si="1044"/>
        <v>CH</v>
      </c>
      <c r="D1686" t="s">
        <v>1705</v>
      </c>
      <c r="E1686" t="str">
        <f t="shared" si="1045"/>
        <v>Mt/yr.</v>
      </c>
      <c r="F1686" s="1">
        <f>[1]Summary!B55+[1]Summary!B60</f>
        <v>6.4923379820553606</v>
      </c>
      <c r="G1686" s="1">
        <f>[1]Summary!C55+[1]Summary!C60</f>
        <v>6.0090062685482843</v>
      </c>
      <c r="H1686" s="1">
        <f>[1]Summary!D55+[1]Summary!D60</f>
        <v>5.4594191088066113</v>
      </c>
      <c r="I1686" s="1">
        <f>[1]Summary!E55+[1]Summary!E60</f>
        <v>4.6168504628164113</v>
      </c>
      <c r="J1686" s="1">
        <f>[1]Summary!F55+[1]Summary!F60</f>
        <v>3.1839701233874274</v>
      </c>
      <c r="K1686" s="1">
        <f>[1]Summary!G55+[1]Summary!G60</f>
        <v>-0.10614533288053796</v>
      </c>
    </row>
    <row r="1687" spans="2:11" x14ac:dyDescent="0.25">
      <c r="B1687" t="str">
        <f t="shared" si="1028"/>
        <v>SPS2</v>
      </c>
      <c r="C1687" t="str">
        <f t="shared" si="1044"/>
        <v>CH</v>
      </c>
      <c r="D1687" t="s">
        <v>1715</v>
      </c>
      <c r="E1687" t="str">
        <f t="shared" si="1045"/>
        <v>Mt/yr.</v>
      </c>
      <c r="F1687" s="1">
        <f>F1686-F1688</f>
        <v>4.4029911815707212</v>
      </c>
      <c r="G1687" s="1">
        <f t="shared" ref="G1687:K1687" si="1046">G1686-G1688</f>
        <v>3.897993098674204</v>
      </c>
      <c r="H1687" s="1">
        <f t="shared" si="1046"/>
        <v>3.3571496377453514</v>
      </c>
      <c r="I1687" s="1">
        <f t="shared" si="1046"/>
        <v>2.5231932783561715</v>
      </c>
      <c r="J1687" s="1">
        <f t="shared" si="1046"/>
        <v>1.1066522855000596</v>
      </c>
      <c r="K1687" s="1">
        <f t="shared" si="1046"/>
        <v>-1.1380164598937179</v>
      </c>
    </row>
    <row r="1688" spans="2:11" x14ac:dyDescent="0.25">
      <c r="B1688" t="str">
        <f t="shared" si="1028"/>
        <v>SPS2</v>
      </c>
      <c r="C1688" t="str">
        <f t="shared" si="1044"/>
        <v>CH</v>
      </c>
      <c r="D1688" t="s">
        <v>1714</v>
      </c>
      <c r="E1688" t="str">
        <f t="shared" si="1045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2.0936571844602399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2.0773178378873678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1.03187112701318</v>
      </c>
    </row>
    <row r="1689" spans="2:11" x14ac:dyDescent="0.25">
      <c r="B1689" t="str">
        <f t="shared" si="1028"/>
        <v>SPS2</v>
      </c>
      <c r="C1689" t="str">
        <f t="shared" si="1044"/>
        <v>CH</v>
      </c>
      <c r="D1689" t="s">
        <v>1706</v>
      </c>
      <c r="E1689" t="str">
        <f t="shared" si="1045"/>
        <v>Mt/yr.</v>
      </c>
      <c r="F1689" s="1">
        <f>[1]Summary!B56</f>
        <v>3.7903897338853603</v>
      </c>
      <c r="G1689" s="1">
        <f>[1]Summary!C56</f>
        <v>3.5588383633744396</v>
      </c>
      <c r="H1689" s="1">
        <f>[1]Summary!D56</f>
        <v>3.16693525633745</v>
      </c>
      <c r="I1689" s="1">
        <f>[1]Summary!E56</f>
        <v>2.1215993497754231</v>
      </c>
      <c r="J1689" s="1">
        <f>[1]Summary!F56</f>
        <v>0.94058221626076199</v>
      </c>
      <c r="K1689" s="1">
        <f>[1]Summary!G56</f>
        <v>0.200990588122684</v>
      </c>
    </row>
    <row r="1690" spans="2:11" x14ac:dyDescent="0.25">
      <c r="B1690" t="str">
        <f t="shared" si="1028"/>
        <v>SPS2</v>
      </c>
      <c r="C1690" t="str">
        <f t="shared" si="1044"/>
        <v>CH</v>
      </c>
      <c r="D1690" t="s">
        <v>1707</v>
      </c>
      <c r="E1690" t="str">
        <f t="shared" si="1045"/>
        <v>Mt/yr.</v>
      </c>
      <c r="F1690" s="1">
        <f>[1]Summary!B57</f>
        <v>7.1866585736077138</v>
      </c>
      <c r="G1690" s="1">
        <f>[1]Summary!C57</f>
        <v>6.4868884749157916</v>
      </c>
      <c r="H1690" s="1">
        <f>[1]Summary!D57</f>
        <v>6.1394625512326488</v>
      </c>
      <c r="I1690" s="1">
        <f>[1]Summary!E57</f>
        <v>3.7143480827319637</v>
      </c>
      <c r="J1690" s="1">
        <f>[1]Summary!F57</f>
        <v>1.5960315524466939</v>
      </c>
      <c r="K1690" s="1">
        <f>[1]Summary!G57</f>
        <v>0.52563624498180395</v>
      </c>
    </row>
    <row r="1691" spans="2:11" x14ac:dyDescent="0.25">
      <c r="B1691" t="str">
        <f t="shared" si="1028"/>
        <v>SPS2</v>
      </c>
      <c r="C1691" t="str">
        <f t="shared" si="1044"/>
        <v>CH</v>
      </c>
      <c r="D1691" t="s">
        <v>1708</v>
      </c>
      <c r="E1691" t="str">
        <f t="shared" si="1045"/>
        <v>Mt/yr.</v>
      </c>
      <c r="F1691" s="1">
        <f>[1]Summary!B58</f>
        <v>14.326580041444553</v>
      </c>
      <c r="G1691" s="1">
        <f>[1]Summary!C58</f>
        <v>13.957450997560331</v>
      </c>
      <c r="H1691" s="1">
        <f>[1]Summary!D58</f>
        <v>11.194868740701761</v>
      </c>
      <c r="I1691" s="1">
        <f>[1]Summary!E58</f>
        <v>6.3951849001588386</v>
      </c>
      <c r="J1691" s="1">
        <f>[1]Summary!F58</f>
        <v>3.1686981311386786</v>
      </c>
      <c r="K1691" s="1">
        <f>[1]Summary!G58</f>
        <v>1.2028768306407456</v>
      </c>
    </row>
    <row r="1692" spans="2:11" x14ac:dyDescent="0.25">
      <c r="B1692" t="str">
        <f t="shared" si="1028"/>
        <v>SPS2</v>
      </c>
      <c r="C1692" t="str">
        <f t="shared" si="1044"/>
        <v>CH</v>
      </c>
      <c r="D1692" t="s">
        <v>1709</v>
      </c>
      <c r="E1692" t="str">
        <f t="shared" si="1045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0.76813505290123396</v>
      </c>
      <c r="K1692" s="1">
        <f>-[1]Summary!G59</f>
        <v>2.6332257696895893</v>
      </c>
    </row>
    <row r="1693" spans="2:11" x14ac:dyDescent="0.25">
      <c r="B1693" t="str">
        <f t="shared" si="1028"/>
        <v>SPS2</v>
      </c>
      <c r="C1693" t="str">
        <f t="shared" si="1044"/>
        <v>CH</v>
      </c>
      <c r="D1693" t="s">
        <v>1710</v>
      </c>
      <c r="E1693" t="str">
        <f t="shared" si="1045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0.51792209814009593</v>
      </c>
      <c r="K1693" s="1">
        <f>-[1]Summary!G60</f>
        <v>3.3242594955756832</v>
      </c>
    </row>
    <row r="1694" spans="2:11" x14ac:dyDescent="0.25">
      <c r="B1694" t="str">
        <f t="shared" si="1028"/>
        <v>SPS2</v>
      </c>
      <c r="C1694" t="str">
        <f t="shared" si="1044"/>
        <v>CH</v>
      </c>
      <c r="D1694" t="s">
        <v>1711</v>
      </c>
      <c r="E1694" t="str">
        <f t="shared" si="1045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1.0261085316092884</v>
      </c>
    </row>
    <row r="1695" spans="2:11" x14ac:dyDescent="0.25">
      <c r="B1695" t="str">
        <f t="shared" si="1028"/>
        <v>SPS2</v>
      </c>
      <c r="C1695" t="str">
        <f t="shared" si="1044"/>
        <v>CH</v>
      </c>
      <c r="D1695" t="s">
        <v>1712</v>
      </c>
      <c r="E1695" t="str">
        <f t="shared" si="1045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8.2735240380789533E-5</v>
      </c>
      <c r="K1695" s="1">
        <f>-[1]Summary!G62</f>
        <v>0.71669845926397457</v>
      </c>
    </row>
    <row r="1696" spans="2:11" x14ac:dyDescent="0.25">
      <c r="B1696" t="str">
        <f t="shared" si="1028"/>
        <v>SPS2</v>
      </c>
      <c r="C1696" t="str">
        <f t="shared" si="1044"/>
        <v>CH</v>
      </c>
      <c r="D1696" t="s">
        <v>1713</v>
      </c>
      <c r="E1696" t="str">
        <f t="shared" si="1045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6.5705537765287284E-6</v>
      </c>
      <c r="K1696" s="1">
        <f>-[1]Summary!G63</f>
        <v>2.5755334510381005E-4</v>
      </c>
    </row>
    <row r="1697" spans="2:11" x14ac:dyDescent="0.25">
      <c r="B1697" s="2" t="str">
        <f t="shared" si="1028"/>
        <v>SPS2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047">SUM(G1698:G1700)</f>
        <v>0</v>
      </c>
      <c r="H1697" s="3">
        <f t="shared" si="1047"/>
        <v>0</v>
      </c>
      <c r="I1697" s="3">
        <f t="shared" si="1047"/>
        <v>0</v>
      </c>
      <c r="J1697" s="3">
        <f t="shared" si="1047"/>
        <v>1.2861213057395391</v>
      </c>
      <c r="K1697" s="3">
        <f t="shared" si="1047"/>
        <v>7.7005347900598995</v>
      </c>
    </row>
    <row r="1698" spans="2:11" x14ac:dyDescent="0.25">
      <c r="B1698" t="str">
        <f t="shared" si="1028"/>
        <v>SPS2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0.83333287858747629</v>
      </c>
      <c r="K1698" s="1">
        <f>[1]Summary!C$77</f>
        <v>3.4615386153010257</v>
      </c>
    </row>
    <row r="1699" spans="2:11" x14ac:dyDescent="0.25">
      <c r="B1699" t="str">
        <f t="shared" si="1028"/>
        <v>SPS2</v>
      </c>
      <c r="C1699" t="str">
        <f t="shared" ref="C1699:C1700" si="1048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0.45278842715206274</v>
      </c>
      <c r="K1699" s="1">
        <f>[1]Summary!C$78</f>
        <v>1.9970522801483448</v>
      </c>
    </row>
    <row r="1700" spans="2:11" x14ac:dyDescent="0.25">
      <c r="B1700" t="str">
        <f t="shared" si="1028"/>
        <v>SPS2</v>
      </c>
      <c r="C1700" t="str">
        <f t="shared" si="1048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</v>
      </c>
      <c r="K1700" s="1">
        <f>[1]Summary!C$79</f>
        <v>2.2419438946105292</v>
      </c>
    </row>
    <row r="1701" spans="2:11" x14ac:dyDescent="0.25">
      <c r="B1701" s="2" t="str">
        <f t="shared" si="1028"/>
        <v>SPS2</v>
      </c>
      <c r="C1701" s="2" t="str">
        <f t="shared" ref="B1701:C1706" si="1049">C1700</f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028"/>
        <v>SPS2</v>
      </c>
      <c r="C1702" t="str">
        <f t="shared" si="1049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050">SUM(G1703:G1704)</f>
        <v>0</v>
      </c>
      <c r="H1702" s="1">
        <f t="shared" si="1050"/>
        <v>0</v>
      </c>
      <c r="I1702" s="1">
        <f t="shared" si="1050"/>
        <v>0</v>
      </c>
      <c r="J1702" s="1">
        <f t="shared" si="1050"/>
        <v>5.279996481755241E-5</v>
      </c>
      <c r="K1702" s="1">
        <f t="shared" si="1050"/>
        <v>1.8759594551323597E-3</v>
      </c>
    </row>
    <row r="1703" spans="2:11" x14ac:dyDescent="0.25">
      <c r="B1703" t="str">
        <f t="shared" si="1028"/>
        <v>SPS2</v>
      </c>
      <c r="C1703" t="str">
        <f t="shared" si="1049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9.1111679034531714E-6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2.343735440444674E-4</v>
      </c>
    </row>
    <row r="1704" spans="2:11" x14ac:dyDescent="0.25">
      <c r="B1704" t="str">
        <f t="shared" si="1028"/>
        <v>SPS2</v>
      </c>
      <c r="C1704" t="str">
        <f t="shared" si="1049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4.3688796914099237E-5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1.6415859110878923E-3</v>
      </c>
    </row>
    <row r="1705" spans="2:11" x14ac:dyDescent="0.25">
      <c r="B1705" t="str">
        <f t="shared" si="1028"/>
        <v>SPS2</v>
      </c>
      <c r="C1705" t="str">
        <f t="shared" si="1049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051">G1696</f>
        <v>0</v>
      </c>
      <c r="H1705" s="1">
        <f t="shared" si="1051"/>
        <v>0</v>
      </c>
      <c r="I1705" s="1">
        <f t="shared" si="1051"/>
        <v>0</v>
      </c>
      <c r="J1705" s="1">
        <f t="shared" si="1051"/>
        <v>6.5705537765287284E-6</v>
      </c>
      <c r="K1705" s="1">
        <f t="shared" si="1051"/>
        <v>2.5755334510381005E-4</v>
      </c>
    </row>
    <row r="1706" spans="2:11" x14ac:dyDescent="0.25">
      <c r="B1706" s="2" t="str">
        <f t="shared" si="1028"/>
        <v>SPS2</v>
      </c>
      <c r="C1706" s="2" t="str">
        <f t="shared" si="1049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958.90256430074692</v>
      </c>
      <c r="G1706" s="3">
        <f t="shared" ref="G1706:K1706" si="1052">SUM(G1707:G1708,G1725,G1734:G1735,G1736,G1737,G1742,G1745,,G1750:G1753,G1746)</f>
        <v>958.63783697487179</v>
      </c>
      <c r="H1706" s="3">
        <f t="shared" si="1052"/>
        <v>917.68090636099225</v>
      </c>
      <c r="I1706" s="3">
        <f t="shared" si="1052"/>
        <v>830.02319178982566</v>
      </c>
      <c r="J1706" s="3">
        <f t="shared" si="1052"/>
        <v>698.26818893369671</v>
      </c>
      <c r="K1706" s="3">
        <f t="shared" si="1052"/>
        <v>622.82083707376285</v>
      </c>
    </row>
    <row r="1707" spans="2:11" x14ac:dyDescent="0.25">
      <c r="B1707" t="str">
        <f t="shared" si="1028"/>
        <v>SPS2</v>
      </c>
      <c r="C1707" t="str">
        <f t="shared" ref="C1707" si="1053">C1706</f>
        <v>CH</v>
      </c>
      <c r="D1707" t="s">
        <v>1739</v>
      </c>
      <c r="E1707" t="str">
        <f>E1706</f>
        <v>PJ/yr.</v>
      </c>
      <c r="F1707" s="1">
        <f>F21</f>
        <v>3.6600037300941612</v>
      </c>
      <c r="G1707" s="1">
        <f t="shared" ref="G1707:K1707" si="1054">G21</f>
        <v>3.5647168884982219</v>
      </c>
      <c r="H1707" s="1">
        <f t="shared" si="1054"/>
        <v>2.9106023964416187E-2</v>
      </c>
      <c r="I1707" s="1">
        <f t="shared" si="1054"/>
        <v>3.0221603972341655</v>
      </c>
      <c r="J1707" s="1">
        <f t="shared" si="1054"/>
        <v>1.3360185557488916E-3</v>
      </c>
      <c r="K1707" s="1">
        <f t="shared" si="1054"/>
        <v>0</v>
      </c>
    </row>
    <row r="1708" spans="2:11" x14ac:dyDescent="0.25">
      <c r="B1708" t="str">
        <f t="shared" si="1028"/>
        <v>SPS2</v>
      </c>
      <c r="C1708" t="str">
        <f t="shared" ref="C1708:C1760" si="1055">C1707</f>
        <v>CH</v>
      </c>
      <c r="D1708" t="s">
        <v>1740</v>
      </c>
      <c r="E1708" t="str">
        <f t="shared" ref="E1708:E1736" si="1056">E1707</f>
        <v>PJ/yr.</v>
      </c>
      <c r="F1708" s="1">
        <f t="shared" ref="F1708:K1734" si="1057">F22</f>
        <v>307.03622571860933</v>
      </c>
      <c r="G1708" s="1">
        <f t="shared" si="1057"/>
        <v>289.46293307313067</v>
      </c>
      <c r="H1708" s="1">
        <f t="shared" si="1057"/>
        <v>241.0442178685787</v>
      </c>
      <c r="I1708" s="1">
        <f t="shared" si="1057"/>
        <v>141.66256417748758</v>
      </c>
      <c r="J1708" s="1">
        <f t="shared" si="1057"/>
        <v>56.17592940752904</v>
      </c>
      <c r="K1708" s="1">
        <f t="shared" si="1057"/>
        <v>6.1459973132681815</v>
      </c>
    </row>
    <row r="1709" spans="2:11" x14ac:dyDescent="0.25">
      <c r="B1709" t="str">
        <f t="shared" si="1028"/>
        <v>SPS2</v>
      </c>
      <c r="C1709" t="str">
        <f t="shared" si="1055"/>
        <v>CH</v>
      </c>
      <c r="D1709" t="s">
        <v>1741</v>
      </c>
      <c r="E1709" t="str">
        <f t="shared" si="1056"/>
        <v>PJ/yr.</v>
      </c>
      <c r="F1709" s="1">
        <f t="shared" si="1057"/>
        <v>300.8901398045885</v>
      </c>
      <c r="G1709" s="1">
        <f t="shared" si="1057"/>
        <v>282.33687433209741</v>
      </c>
      <c r="H1709" s="1">
        <f t="shared" si="1057"/>
        <v>234.20883442435098</v>
      </c>
      <c r="I1709" s="1">
        <f t="shared" si="1057"/>
        <v>135.70799841316861</v>
      </c>
      <c r="J1709" s="1">
        <f t="shared" si="1057"/>
        <v>51.718741126208847</v>
      </c>
      <c r="K1709" s="1">
        <f t="shared" si="1057"/>
        <v>0</v>
      </c>
    </row>
    <row r="1710" spans="2:11" x14ac:dyDescent="0.25">
      <c r="B1710" t="str">
        <f t="shared" si="1028"/>
        <v>SPS2</v>
      </c>
      <c r="C1710" t="str">
        <f t="shared" si="1055"/>
        <v>CH</v>
      </c>
      <c r="D1710" t="s">
        <v>1742</v>
      </c>
      <c r="E1710" t="str">
        <f t="shared" si="1056"/>
        <v>PJ/yr.</v>
      </c>
      <c r="F1710" s="1">
        <f t="shared" si="1057"/>
        <v>101.74428183143539</v>
      </c>
      <c r="G1710" s="1">
        <f t="shared" si="1057"/>
        <v>90.977041688379956</v>
      </c>
      <c r="H1710" s="1">
        <f t="shared" si="1057"/>
        <v>82.13422091081199</v>
      </c>
      <c r="I1710" s="1">
        <f t="shared" si="1057"/>
        <v>48.712006273840743</v>
      </c>
      <c r="J1710" s="1">
        <f t="shared" si="1057"/>
        <v>14.25692371166839</v>
      </c>
      <c r="K1710" s="1">
        <f t="shared" si="1057"/>
        <v>0</v>
      </c>
    </row>
    <row r="1711" spans="2:11" x14ac:dyDescent="0.25">
      <c r="B1711" t="str">
        <f t="shared" si="1028"/>
        <v>SPS2</v>
      </c>
      <c r="C1711" t="str">
        <f t="shared" si="1055"/>
        <v>CH</v>
      </c>
      <c r="D1711" t="s">
        <v>1743</v>
      </c>
      <c r="E1711" t="str">
        <f t="shared" si="1056"/>
        <v>PJ/yr.</v>
      </c>
      <c r="F1711" s="1">
        <f t="shared" si="1057"/>
        <v>2.7763701271697321</v>
      </c>
      <c r="G1711" s="1">
        <f t="shared" si="1057"/>
        <v>1.3140812646362577E-3</v>
      </c>
      <c r="H1711" s="1">
        <f t="shared" si="1057"/>
        <v>1.5390436187185423E-3</v>
      </c>
      <c r="I1711" s="1">
        <f t="shared" si="1057"/>
        <v>1.3194029946510132E-2</v>
      </c>
      <c r="J1711" s="1">
        <f t="shared" si="1057"/>
        <v>1.6225787499077309E-3</v>
      </c>
      <c r="K1711" s="1">
        <f t="shared" si="1057"/>
        <v>0</v>
      </c>
    </row>
    <row r="1712" spans="2:11" x14ac:dyDescent="0.25">
      <c r="B1712" t="str">
        <f t="shared" si="1028"/>
        <v>SPS2</v>
      </c>
      <c r="C1712" t="str">
        <f t="shared" si="1055"/>
        <v>CH</v>
      </c>
      <c r="D1712" t="s">
        <v>1744</v>
      </c>
      <c r="E1712" t="str">
        <f t="shared" si="1056"/>
        <v>PJ/yr.</v>
      </c>
      <c r="F1712" s="1">
        <f t="shared" si="1057"/>
        <v>125.60764550917312</v>
      </c>
      <c r="G1712" s="1">
        <f t="shared" si="1057"/>
        <v>112.6860434400897</v>
      </c>
      <c r="H1712" s="1">
        <f t="shared" si="1057"/>
        <v>84.239935747384777</v>
      </c>
      <c r="I1712" s="1">
        <f t="shared" si="1057"/>
        <v>48.032479228799374</v>
      </c>
      <c r="J1712" s="1">
        <f t="shared" si="1057"/>
        <v>27.308575704455642</v>
      </c>
      <c r="K1712" s="1">
        <f t="shared" si="1057"/>
        <v>0</v>
      </c>
    </row>
    <row r="1713" spans="2:11" x14ac:dyDescent="0.25">
      <c r="B1713" t="str">
        <f t="shared" si="1028"/>
        <v>SPS2</v>
      </c>
      <c r="C1713" t="str">
        <f t="shared" si="1055"/>
        <v>CH</v>
      </c>
      <c r="D1713" t="s">
        <v>1745</v>
      </c>
      <c r="E1713" t="str">
        <f t="shared" si="1056"/>
        <v>PJ/yr.</v>
      </c>
      <c r="F1713" s="1">
        <f t="shared" si="1057"/>
        <v>69.652456970431075</v>
      </c>
      <c r="G1713" s="1">
        <f t="shared" si="1057"/>
        <v>77.267260238809328</v>
      </c>
      <c r="H1713" s="1">
        <f t="shared" si="1057"/>
        <v>65.984179563219811</v>
      </c>
      <c r="I1713" s="1">
        <f t="shared" si="1057"/>
        <v>36.857679472526151</v>
      </c>
      <c r="J1713" s="1">
        <f t="shared" si="1057"/>
        <v>8.5489445984621799</v>
      </c>
      <c r="K1713" s="1">
        <f t="shared" si="1057"/>
        <v>0</v>
      </c>
    </row>
    <row r="1714" spans="2:11" x14ac:dyDescent="0.25">
      <c r="B1714" t="str">
        <f t="shared" si="1028"/>
        <v>SPS2</v>
      </c>
      <c r="C1714" t="str">
        <f t="shared" si="1055"/>
        <v>CH</v>
      </c>
      <c r="D1714" t="s">
        <v>1746</v>
      </c>
      <c r="E1714" t="str">
        <f t="shared" si="1056"/>
        <v>PJ/yr.</v>
      </c>
      <c r="F1714" s="1">
        <f t="shared" si="1057"/>
        <v>1.1093853663791744</v>
      </c>
      <c r="G1714" s="1">
        <f t="shared" si="1057"/>
        <v>1.4052148835537817</v>
      </c>
      <c r="H1714" s="1">
        <f t="shared" si="1057"/>
        <v>1.8489591593156731</v>
      </c>
      <c r="I1714" s="1">
        <f t="shared" si="1057"/>
        <v>2.0926394080558417</v>
      </c>
      <c r="J1714" s="1">
        <f t="shared" si="1057"/>
        <v>1.6026745328727288</v>
      </c>
      <c r="K1714" s="1">
        <f t="shared" si="1057"/>
        <v>0</v>
      </c>
    </row>
    <row r="1715" spans="2:11" x14ac:dyDescent="0.25">
      <c r="B1715" t="str">
        <f t="shared" si="1028"/>
        <v>SPS2</v>
      </c>
      <c r="C1715" t="str">
        <f t="shared" si="1055"/>
        <v>CH</v>
      </c>
      <c r="D1715" t="s">
        <v>1747</v>
      </c>
      <c r="E1715" t="str">
        <f t="shared" si="1056"/>
        <v>PJ/yr.</v>
      </c>
      <c r="F1715" s="1">
        <f t="shared" si="1057"/>
        <v>6.1460859140208193</v>
      </c>
      <c r="G1715" s="1">
        <f t="shared" si="1057"/>
        <v>7.1260587410332334</v>
      </c>
      <c r="H1715" s="1">
        <f t="shared" si="1057"/>
        <v>6.8353834442277055</v>
      </c>
      <c r="I1715" s="1">
        <f t="shared" si="1057"/>
        <v>5.9545657643189625</v>
      </c>
      <c r="J1715" s="1">
        <f t="shared" si="1057"/>
        <v>4.4571882813201906</v>
      </c>
      <c r="K1715" s="1">
        <f t="shared" si="1057"/>
        <v>6.1459973132681815</v>
      </c>
    </row>
    <row r="1716" spans="2:11" x14ac:dyDescent="0.25">
      <c r="B1716" t="str">
        <f t="shared" ref="B1716:B1779" si="1058">B1715</f>
        <v>SPS2</v>
      </c>
      <c r="C1716" t="str">
        <f t="shared" si="1055"/>
        <v>CH</v>
      </c>
      <c r="D1716" t="s">
        <v>1748</v>
      </c>
      <c r="E1716" t="str">
        <f t="shared" si="1056"/>
        <v>PJ/yr.</v>
      </c>
      <c r="F1716" s="1">
        <f t="shared" si="1057"/>
        <v>3.0152277362664539</v>
      </c>
      <c r="G1716" s="1">
        <f t="shared" si="1057"/>
        <v>2.6517763303405442</v>
      </c>
      <c r="H1716" s="1">
        <f t="shared" si="1057"/>
        <v>3.0152929404056152</v>
      </c>
      <c r="I1716" s="1">
        <f t="shared" si="1057"/>
        <v>2.9735300565807146</v>
      </c>
      <c r="J1716" s="1">
        <f t="shared" si="1057"/>
        <v>3.2442378203922835</v>
      </c>
      <c r="K1716" s="1">
        <f t="shared" si="1057"/>
        <v>5.6459440231617704</v>
      </c>
    </row>
    <row r="1717" spans="2:11" x14ac:dyDescent="0.25">
      <c r="B1717" t="str">
        <f t="shared" si="1058"/>
        <v>SPS2</v>
      </c>
      <c r="C1717" t="str">
        <f t="shared" si="1055"/>
        <v>CH</v>
      </c>
      <c r="D1717" t="s">
        <v>1749</v>
      </c>
      <c r="E1717" t="str">
        <f t="shared" si="1056"/>
        <v>PJ/yr.</v>
      </c>
      <c r="F1717" s="1">
        <f t="shared" si="1057"/>
        <v>3.1308581777543649</v>
      </c>
      <c r="G1717" s="1">
        <f t="shared" si="1057"/>
        <v>4.4742824106926893</v>
      </c>
      <c r="H1717" s="1">
        <f t="shared" si="1057"/>
        <v>3.8200905038220903</v>
      </c>
      <c r="I1717" s="1">
        <f t="shared" si="1057"/>
        <v>2.9810357077382474</v>
      </c>
      <c r="J1717" s="1">
        <f t="shared" si="1057"/>
        <v>1.2129504609279071</v>
      </c>
      <c r="K1717" s="1">
        <f t="shared" si="1057"/>
        <v>0.50005329010641153</v>
      </c>
    </row>
    <row r="1718" spans="2:11" x14ac:dyDescent="0.25">
      <c r="B1718" t="str">
        <f t="shared" si="1058"/>
        <v>SPS2</v>
      </c>
      <c r="C1718" t="str">
        <f t="shared" si="1055"/>
        <v>CH</v>
      </c>
      <c r="D1718" t="s">
        <v>1750</v>
      </c>
      <c r="E1718" t="str">
        <f t="shared" si="1056"/>
        <v>PJ/yr.</v>
      </c>
      <c r="F1718" s="1">
        <f t="shared" si="1057"/>
        <v>6.1460859140208193</v>
      </c>
      <c r="G1718" s="1">
        <f t="shared" si="1057"/>
        <v>7.1260587410332334</v>
      </c>
      <c r="H1718" s="1">
        <f t="shared" si="1057"/>
        <v>6.8353834442277055</v>
      </c>
      <c r="I1718" s="1">
        <f t="shared" si="1057"/>
        <v>5.9545657643189625</v>
      </c>
      <c r="J1718" s="1">
        <f t="shared" si="1057"/>
        <v>4.2282434013335219</v>
      </c>
      <c r="K1718" s="1">
        <f t="shared" si="1057"/>
        <v>3.7442911104986951</v>
      </c>
    </row>
    <row r="1719" spans="2:11" x14ac:dyDescent="0.25">
      <c r="B1719" t="str">
        <f t="shared" si="1058"/>
        <v>SPS2</v>
      </c>
      <c r="C1719" t="str">
        <f t="shared" si="1055"/>
        <v>CH</v>
      </c>
      <c r="D1719" t="s">
        <v>1751</v>
      </c>
      <c r="E1719" t="str">
        <f t="shared" si="1056"/>
        <v>PJ/yr.</v>
      </c>
      <c r="F1719" s="1">
        <f t="shared" si="1057"/>
        <v>3.0152277362664539</v>
      </c>
      <c r="G1719" s="1">
        <f t="shared" si="1057"/>
        <v>2.6517763303405442</v>
      </c>
      <c r="H1719" s="1">
        <f t="shared" si="1057"/>
        <v>3.0152929404056152</v>
      </c>
      <c r="I1719" s="1">
        <f t="shared" si="1057"/>
        <v>2.9735300565807146</v>
      </c>
      <c r="J1719" s="1">
        <f t="shared" si="1057"/>
        <v>3.0152929404056152</v>
      </c>
      <c r="K1719" s="1">
        <f t="shared" si="1057"/>
        <v>3.2442378203922835</v>
      </c>
    </row>
    <row r="1720" spans="2:11" x14ac:dyDescent="0.25">
      <c r="B1720" t="str">
        <f t="shared" si="1058"/>
        <v>SPS2</v>
      </c>
      <c r="C1720" t="str">
        <f t="shared" si="1055"/>
        <v>CH</v>
      </c>
      <c r="D1720" t="s">
        <v>1752</v>
      </c>
      <c r="E1720" t="str">
        <f t="shared" si="1056"/>
        <v>PJ/yr.</v>
      </c>
      <c r="F1720" s="1">
        <f t="shared" si="1057"/>
        <v>3.1308581777543649</v>
      </c>
      <c r="G1720" s="1">
        <f t="shared" si="1057"/>
        <v>4.4742824106926893</v>
      </c>
      <c r="H1720" s="1">
        <f t="shared" si="1057"/>
        <v>3.8200905038220903</v>
      </c>
      <c r="I1720" s="1">
        <f t="shared" si="1057"/>
        <v>2.9810357077382474</v>
      </c>
      <c r="J1720" s="1">
        <f t="shared" si="1057"/>
        <v>1.2129504609279071</v>
      </c>
      <c r="K1720" s="1">
        <f t="shared" si="1057"/>
        <v>0.50005329010641153</v>
      </c>
    </row>
    <row r="1721" spans="2:11" x14ac:dyDescent="0.25">
      <c r="B1721" t="str">
        <f t="shared" si="1058"/>
        <v>SPS2</v>
      </c>
      <c r="C1721" t="str">
        <f t="shared" si="1055"/>
        <v>CH</v>
      </c>
      <c r="D1721" t="s">
        <v>1753</v>
      </c>
      <c r="E1721" t="str">
        <f t="shared" si="1056"/>
        <v>PJ/yr.</v>
      </c>
      <c r="F1721" s="1">
        <f t="shared" si="1057"/>
        <v>0</v>
      </c>
      <c r="G1721" s="1">
        <f t="shared" si="1057"/>
        <v>0</v>
      </c>
      <c r="H1721" s="1">
        <f t="shared" si="1057"/>
        <v>0</v>
      </c>
      <c r="I1721" s="1">
        <f t="shared" si="1057"/>
        <v>0</v>
      </c>
      <c r="J1721" s="1">
        <f t="shared" si="1057"/>
        <v>0.22894487998666824</v>
      </c>
      <c r="K1721" s="1">
        <f t="shared" si="1057"/>
        <v>2.4017062027694869</v>
      </c>
    </row>
    <row r="1722" spans="2:11" x14ac:dyDescent="0.25">
      <c r="B1722" t="str">
        <f t="shared" si="1058"/>
        <v>SPS2</v>
      </c>
      <c r="C1722" t="str">
        <f t="shared" si="1055"/>
        <v>CH</v>
      </c>
      <c r="D1722" t="s">
        <v>1754</v>
      </c>
      <c r="E1722" t="str">
        <f t="shared" si="1056"/>
        <v>PJ/yr.</v>
      </c>
      <c r="F1722" s="1">
        <f t="shared" si="1057"/>
        <v>0</v>
      </c>
      <c r="G1722" s="1">
        <f t="shared" si="1057"/>
        <v>0</v>
      </c>
      <c r="H1722" s="1">
        <f t="shared" si="1057"/>
        <v>0</v>
      </c>
      <c r="I1722" s="1">
        <f t="shared" si="1057"/>
        <v>0</v>
      </c>
      <c r="J1722" s="1">
        <f t="shared" si="1057"/>
        <v>0.22894487998666824</v>
      </c>
      <c r="K1722" s="1">
        <f t="shared" si="1057"/>
        <v>2.4017062027694869</v>
      </c>
    </row>
    <row r="1723" spans="2:11" x14ac:dyDescent="0.25">
      <c r="B1723" t="str">
        <f t="shared" si="1058"/>
        <v>SPS2</v>
      </c>
      <c r="C1723" t="str">
        <f t="shared" si="1055"/>
        <v>CH</v>
      </c>
      <c r="D1723" t="s">
        <v>1755</v>
      </c>
      <c r="E1723" t="str">
        <f t="shared" si="1056"/>
        <v>PJ/yr.</v>
      </c>
      <c r="F1723" s="1">
        <f t="shared" si="1057"/>
        <v>0</v>
      </c>
      <c r="G1723" s="1">
        <f t="shared" si="1057"/>
        <v>0</v>
      </c>
      <c r="H1723" s="1">
        <f t="shared" si="1057"/>
        <v>0</v>
      </c>
      <c r="I1723" s="1">
        <f t="shared" si="1057"/>
        <v>0</v>
      </c>
      <c r="J1723" s="1">
        <f t="shared" si="1057"/>
        <v>0</v>
      </c>
      <c r="K1723" s="1">
        <f t="shared" si="1057"/>
        <v>0</v>
      </c>
    </row>
    <row r="1724" spans="2:11" x14ac:dyDescent="0.25">
      <c r="B1724" t="str">
        <f t="shared" si="1058"/>
        <v>SPS2</v>
      </c>
      <c r="C1724" t="str">
        <f t="shared" si="1055"/>
        <v>CH</v>
      </c>
      <c r="D1724" t="s">
        <v>1756</v>
      </c>
      <c r="E1724" t="str">
        <f t="shared" si="1056"/>
        <v>PJ/yr.</v>
      </c>
      <c r="F1724" s="1">
        <f t="shared" si="1057"/>
        <v>0</v>
      </c>
      <c r="G1724" s="1">
        <f t="shared" si="1057"/>
        <v>0</v>
      </c>
      <c r="H1724" s="1">
        <f t="shared" si="1057"/>
        <v>0</v>
      </c>
      <c r="I1724" s="1">
        <f t="shared" si="1057"/>
        <v>0</v>
      </c>
      <c r="J1724" s="1">
        <f t="shared" si="1057"/>
        <v>0</v>
      </c>
      <c r="K1724" s="1">
        <f t="shared" si="1057"/>
        <v>0</v>
      </c>
    </row>
    <row r="1725" spans="2:11" x14ac:dyDescent="0.25">
      <c r="B1725" t="str">
        <f t="shared" si="1058"/>
        <v>SPS2</v>
      </c>
      <c r="C1725" t="str">
        <f t="shared" si="1055"/>
        <v>CH</v>
      </c>
      <c r="D1725" t="s">
        <v>1757</v>
      </c>
      <c r="E1725" t="str">
        <f t="shared" si="1056"/>
        <v>PJ/yr.</v>
      </c>
      <c r="F1725" s="1">
        <f t="shared" si="1057"/>
        <v>117.28452952583235</v>
      </c>
      <c r="G1725" s="1">
        <f t="shared" si="1057"/>
        <v>106.7203011850104</v>
      </c>
      <c r="H1725" s="1">
        <f t="shared" si="1057"/>
        <v>102.08444395765686</v>
      </c>
      <c r="I1725" s="1">
        <f t="shared" si="1057"/>
        <v>62.968195254419008</v>
      </c>
      <c r="J1725" s="1">
        <f t="shared" si="1057"/>
        <v>39.759858251891252</v>
      </c>
      <c r="K1725" s="1">
        <f t="shared" si="1057"/>
        <v>8.7985167604720093E-5</v>
      </c>
    </row>
    <row r="1726" spans="2:11" x14ac:dyDescent="0.25">
      <c r="B1726" t="str">
        <f t="shared" si="1058"/>
        <v>SPS2</v>
      </c>
      <c r="C1726" t="str">
        <f t="shared" si="1055"/>
        <v>CH</v>
      </c>
      <c r="D1726" t="s">
        <v>1758</v>
      </c>
      <c r="E1726" t="str">
        <f t="shared" si="1056"/>
        <v>PJ/yr.</v>
      </c>
      <c r="F1726" s="1">
        <f t="shared" si="1057"/>
        <v>117.28452952583235</v>
      </c>
      <c r="G1726" s="1">
        <f t="shared" si="1057"/>
        <v>106.71999948625074</v>
      </c>
      <c r="H1726" s="1">
        <f t="shared" si="1057"/>
        <v>102.08219735570731</v>
      </c>
      <c r="I1726" s="1">
        <f t="shared" si="1057"/>
        <v>62.776266456951888</v>
      </c>
      <c r="J1726" s="1">
        <f t="shared" si="1057"/>
        <v>38.06984387782294</v>
      </c>
      <c r="K1726" s="1">
        <f t="shared" si="1057"/>
        <v>0</v>
      </c>
    </row>
    <row r="1727" spans="2:11" x14ac:dyDescent="0.25">
      <c r="B1727" t="str">
        <f t="shared" si="1058"/>
        <v>SPS2</v>
      </c>
      <c r="C1727" t="str">
        <f t="shared" si="1055"/>
        <v>CH</v>
      </c>
      <c r="D1727" t="s">
        <v>1759</v>
      </c>
      <c r="E1727" t="str">
        <f t="shared" si="1056"/>
        <v>PJ/yr.</v>
      </c>
      <c r="F1727" s="1">
        <f t="shared" si="1057"/>
        <v>117.28452952583235</v>
      </c>
      <c r="G1727" s="1">
        <f t="shared" si="1057"/>
        <v>106.71999948625074</v>
      </c>
      <c r="H1727" s="1">
        <f t="shared" si="1057"/>
        <v>102.08219735570731</v>
      </c>
      <c r="I1727" s="1">
        <f t="shared" si="1057"/>
        <v>62.774444031868505</v>
      </c>
      <c r="J1727" s="1">
        <f t="shared" si="1057"/>
        <v>38.067455452993144</v>
      </c>
      <c r="K1727" s="1">
        <f t="shared" si="1057"/>
        <v>0</v>
      </c>
    </row>
    <row r="1728" spans="2:11" x14ac:dyDescent="0.25">
      <c r="B1728" t="str">
        <f t="shared" si="1058"/>
        <v>SPS2</v>
      </c>
      <c r="C1728" t="str">
        <f t="shared" si="1055"/>
        <v>CH</v>
      </c>
      <c r="D1728" t="s">
        <v>1760</v>
      </c>
      <c r="E1728" t="str">
        <f t="shared" si="1056"/>
        <v>PJ/yr.</v>
      </c>
      <c r="F1728" s="1">
        <f t="shared" si="1057"/>
        <v>0</v>
      </c>
      <c r="G1728" s="1">
        <f t="shared" si="1057"/>
        <v>0</v>
      </c>
      <c r="H1728" s="1">
        <f t="shared" si="1057"/>
        <v>0</v>
      </c>
      <c r="I1728" s="1">
        <f t="shared" si="1057"/>
        <v>1.8224250833797442E-3</v>
      </c>
      <c r="J1728" s="1">
        <f t="shared" si="1057"/>
        <v>2.3884248297974574E-3</v>
      </c>
      <c r="K1728" s="1">
        <f t="shared" si="1057"/>
        <v>0</v>
      </c>
    </row>
    <row r="1729" spans="2:11" x14ac:dyDescent="0.25">
      <c r="B1729" t="str">
        <f t="shared" si="1058"/>
        <v>SPS2</v>
      </c>
      <c r="C1729" t="str">
        <f t="shared" si="1055"/>
        <v>CH</v>
      </c>
      <c r="D1729" t="s">
        <v>1761</v>
      </c>
      <c r="E1729" t="str">
        <f t="shared" si="1056"/>
        <v>PJ/yr.</v>
      </c>
      <c r="F1729" s="1">
        <f t="shared" si="1057"/>
        <v>0</v>
      </c>
      <c r="G1729" s="1">
        <f t="shared" si="1057"/>
        <v>3.0169875965005481E-4</v>
      </c>
      <c r="H1729" s="1">
        <f t="shared" si="1057"/>
        <v>2.2466019495471765E-3</v>
      </c>
      <c r="I1729" s="1">
        <f t="shared" si="1057"/>
        <v>0.19192879746711933</v>
      </c>
      <c r="J1729" s="1">
        <f t="shared" si="1057"/>
        <v>1.6900143740683098</v>
      </c>
      <c r="K1729" s="1">
        <f t="shared" si="1057"/>
        <v>8.7985167604720093E-5</v>
      </c>
    </row>
    <row r="1730" spans="2:11" x14ac:dyDescent="0.25">
      <c r="B1730" t="str">
        <f t="shared" si="1058"/>
        <v>SPS2</v>
      </c>
      <c r="C1730" t="str">
        <f t="shared" si="1055"/>
        <v>CH</v>
      </c>
      <c r="D1730" t="s">
        <v>1762</v>
      </c>
      <c r="E1730" t="str">
        <f t="shared" si="1056"/>
        <v>PJ/yr.</v>
      </c>
      <c r="F1730" s="1">
        <f t="shared" si="1057"/>
        <v>0</v>
      </c>
      <c r="G1730" s="1">
        <f t="shared" si="1057"/>
        <v>3.0169875965005481E-4</v>
      </c>
      <c r="H1730" s="1">
        <f t="shared" si="1057"/>
        <v>2.2466019495471765E-3</v>
      </c>
      <c r="I1730" s="1">
        <f t="shared" si="1057"/>
        <v>0.19192879746711933</v>
      </c>
      <c r="J1730" s="1">
        <f t="shared" si="1057"/>
        <v>0.19192879746711933</v>
      </c>
      <c r="K1730" s="1">
        <f t="shared" si="1057"/>
        <v>8.7985167604720093E-5</v>
      </c>
    </row>
    <row r="1731" spans="2:11" x14ac:dyDescent="0.25">
      <c r="B1731" t="str">
        <f t="shared" si="1058"/>
        <v>SPS2</v>
      </c>
      <c r="C1731" t="str">
        <f t="shared" si="1055"/>
        <v>CH</v>
      </c>
      <c r="D1731" t="s">
        <v>1763</v>
      </c>
      <c r="E1731" t="str">
        <f t="shared" si="1056"/>
        <v>PJ/yr.</v>
      </c>
      <c r="F1731" s="1">
        <f t="shared" si="1057"/>
        <v>0</v>
      </c>
      <c r="G1731" s="1">
        <f t="shared" si="1057"/>
        <v>3.0169875965005481E-4</v>
      </c>
      <c r="H1731" s="1">
        <f t="shared" si="1057"/>
        <v>2.2466019495471765E-3</v>
      </c>
      <c r="I1731" s="1">
        <f t="shared" si="1057"/>
        <v>0.19192879746711933</v>
      </c>
      <c r="J1731" s="1">
        <f t="shared" si="1057"/>
        <v>0.19192879746711933</v>
      </c>
      <c r="K1731" s="1">
        <f t="shared" si="1057"/>
        <v>8.7985167604720093E-5</v>
      </c>
    </row>
    <row r="1732" spans="2:11" x14ac:dyDescent="0.25">
      <c r="B1732" t="str">
        <f t="shared" si="1058"/>
        <v>SPS2</v>
      </c>
      <c r="C1732" t="str">
        <f t="shared" si="1055"/>
        <v>CH</v>
      </c>
      <c r="D1732" t="s">
        <v>1764</v>
      </c>
      <c r="E1732" t="str">
        <f t="shared" si="1056"/>
        <v>PJ/yr.</v>
      </c>
      <c r="F1732" s="1">
        <f t="shared" si="1057"/>
        <v>0</v>
      </c>
      <c r="G1732" s="1">
        <f t="shared" si="1057"/>
        <v>0</v>
      </c>
      <c r="H1732" s="1">
        <f t="shared" si="1057"/>
        <v>0</v>
      </c>
      <c r="I1732" s="1">
        <f t="shared" si="1057"/>
        <v>0</v>
      </c>
      <c r="J1732" s="1">
        <f t="shared" si="1057"/>
        <v>1.4980855766011905</v>
      </c>
      <c r="K1732" s="1">
        <f t="shared" si="1057"/>
        <v>0</v>
      </c>
    </row>
    <row r="1733" spans="2:11" x14ac:dyDescent="0.25">
      <c r="B1733" t="str">
        <f t="shared" si="1058"/>
        <v>SPS2</v>
      </c>
      <c r="C1733" t="str">
        <f t="shared" si="1055"/>
        <v>CH</v>
      </c>
      <c r="D1733" t="s">
        <v>1765</v>
      </c>
      <c r="E1733" t="str">
        <f t="shared" si="1056"/>
        <v>PJ/yr.</v>
      </c>
      <c r="F1733" s="1">
        <f t="shared" si="1057"/>
        <v>0</v>
      </c>
      <c r="G1733" s="1">
        <f t="shared" si="1057"/>
        <v>0</v>
      </c>
      <c r="H1733" s="1">
        <f t="shared" si="1057"/>
        <v>0</v>
      </c>
      <c r="I1733" s="1">
        <f t="shared" si="1057"/>
        <v>0</v>
      </c>
      <c r="J1733" s="1">
        <f t="shared" si="1057"/>
        <v>1.4980855766011905</v>
      </c>
      <c r="K1733" s="1">
        <f t="shared" si="1057"/>
        <v>0</v>
      </c>
    </row>
    <row r="1734" spans="2:11" x14ac:dyDescent="0.25">
      <c r="B1734" t="str">
        <f t="shared" si="1058"/>
        <v>SPS2</v>
      </c>
      <c r="C1734" t="str">
        <f t="shared" si="1055"/>
        <v>CH</v>
      </c>
      <c r="D1734" t="s">
        <v>1766</v>
      </c>
      <c r="E1734" t="str">
        <f t="shared" si="1056"/>
        <v>PJ/yr.</v>
      </c>
      <c r="F1734" s="1">
        <f t="shared" si="1057"/>
        <v>250.94820405058664</v>
      </c>
      <c r="G1734" s="1">
        <f t="shared" si="1057"/>
        <v>253.29948466409297</v>
      </c>
      <c r="H1734" s="1">
        <f t="shared" si="1057"/>
        <v>214.42483478236585</v>
      </c>
      <c r="I1734" s="1">
        <f t="shared" si="1057"/>
        <v>209.58464186465312</v>
      </c>
      <c r="J1734" s="1">
        <f t="shared" si="1057"/>
        <v>97.738500786076813</v>
      </c>
      <c r="K1734" s="1">
        <f t="shared" si="1057"/>
        <v>0</v>
      </c>
    </row>
    <row r="1735" spans="2:11" x14ac:dyDescent="0.25">
      <c r="B1735" t="str">
        <f t="shared" si="1058"/>
        <v>SPS2</v>
      </c>
      <c r="C1735" t="str">
        <f t="shared" si="1055"/>
        <v>CH</v>
      </c>
      <c r="D1735" t="s">
        <v>1767</v>
      </c>
      <c r="E1735" t="str">
        <f t="shared" si="1056"/>
        <v>PJ/yr.</v>
      </c>
      <c r="F1735" s="1">
        <f>-F56+F49</f>
        <v>-20.010001615804242</v>
      </c>
      <c r="G1735" s="1">
        <f t="shared" ref="G1735:K1735" si="1059">-G56+G49</f>
        <v>14.847067790089767</v>
      </c>
      <c r="H1735" s="1">
        <f t="shared" si="1059"/>
        <v>-4.4484576799232372</v>
      </c>
      <c r="I1735" s="1">
        <f t="shared" si="1059"/>
        <v>-1.9999999694082788</v>
      </c>
      <c r="J1735" s="1">
        <f t="shared" si="1059"/>
        <v>-1.9999972525746621</v>
      </c>
      <c r="K1735" s="1">
        <f t="shared" si="1059"/>
        <v>-2.0000003627974117</v>
      </c>
    </row>
    <row r="1736" spans="2:11" x14ac:dyDescent="0.25">
      <c r="B1736" t="str">
        <f t="shared" si="1058"/>
        <v>SPS2</v>
      </c>
      <c r="C1736" t="str">
        <f t="shared" si="1055"/>
        <v>CH</v>
      </c>
      <c r="D1736" t="s">
        <v>1768</v>
      </c>
      <c r="E1736" t="str">
        <f t="shared" si="1056"/>
        <v>PJ/yr.</v>
      </c>
      <c r="F1736" s="1">
        <f>F54</f>
        <v>0</v>
      </c>
      <c r="G1736" s="1">
        <f t="shared" ref="G1736:K1736" si="1060">G54</f>
        <v>0</v>
      </c>
      <c r="H1736" s="1">
        <f t="shared" si="1060"/>
        <v>0</v>
      </c>
      <c r="I1736" s="1">
        <f t="shared" si="1060"/>
        <v>0</v>
      </c>
      <c r="J1736" s="1">
        <f t="shared" si="1060"/>
        <v>0</v>
      </c>
      <c r="K1736" s="1">
        <f t="shared" si="1060"/>
        <v>0</v>
      </c>
    </row>
    <row r="1737" spans="2:11" x14ac:dyDescent="0.25">
      <c r="B1737" t="str">
        <f t="shared" si="1058"/>
        <v>SPS2</v>
      </c>
      <c r="C1737" t="str">
        <f t="shared" si="1055"/>
        <v>CH</v>
      </c>
      <c r="D1737" t="s">
        <v>1770</v>
      </c>
      <c r="E1737" t="str">
        <f>E3</f>
        <v>PJ/yr.</v>
      </c>
      <c r="F1737" s="1">
        <f>F3</f>
        <v>44.770007526298286</v>
      </c>
      <c r="G1737" s="1">
        <f t="shared" ref="G1737:K1737" si="1061">G3</f>
        <v>47.260893523897252</v>
      </c>
      <c r="H1737" s="1">
        <f t="shared" si="1061"/>
        <v>47.988240590411941</v>
      </c>
      <c r="I1737" s="1">
        <f t="shared" si="1061"/>
        <v>47.990447206414636</v>
      </c>
      <c r="J1737" s="1">
        <f t="shared" si="1061"/>
        <v>54.445501401042677</v>
      </c>
      <c r="K1737" s="1">
        <f t="shared" si="1061"/>
        <v>71.291583582575996</v>
      </c>
    </row>
    <row r="1738" spans="2:11" x14ac:dyDescent="0.25">
      <c r="B1738" t="str">
        <f t="shared" si="1058"/>
        <v>SPS2</v>
      </c>
      <c r="C1738" t="str">
        <f t="shared" si="1055"/>
        <v>CH</v>
      </c>
      <c r="D1738" t="s">
        <v>1771</v>
      </c>
      <c r="E1738" t="str">
        <f t="shared" ref="E1738:F1738" si="1062">E4</f>
        <v>PJ/yr.</v>
      </c>
      <c r="F1738" s="1">
        <f t="shared" si="1062"/>
        <v>10.182341426473908</v>
      </c>
      <c r="G1738" s="1">
        <f t="shared" ref="G1738:K1738" si="1063">G4</f>
        <v>11.152950234012655</v>
      </c>
      <c r="H1738" s="1">
        <f t="shared" si="1063"/>
        <v>12.608866003456438</v>
      </c>
      <c r="I1738" s="1">
        <f t="shared" si="1063"/>
        <v>15.035394729556266</v>
      </c>
      <c r="J1738" s="1">
        <f t="shared" si="1063"/>
        <v>17.461921731319521</v>
      </c>
      <c r="K1738" s="1">
        <f t="shared" si="1063"/>
        <v>17.461922430630267</v>
      </c>
    </row>
    <row r="1739" spans="2:11" x14ac:dyDescent="0.25">
      <c r="B1739" t="str">
        <f t="shared" si="1058"/>
        <v>SPS2</v>
      </c>
      <c r="C1739" t="str">
        <f t="shared" si="1055"/>
        <v>CH</v>
      </c>
      <c r="D1739" t="s">
        <v>1772</v>
      </c>
      <c r="E1739" t="str">
        <f t="shared" ref="E1739:F1739" si="1064">E5</f>
        <v>PJ/yr.</v>
      </c>
      <c r="F1739" s="1">
        <f t="shared" si="1064"/>
        <v>7.4592182845033399</v>
      </c>
      <c r="G1739" s="1">
        <f t="shared" ref="G1739:K1739" si="1065">G5</f>
        <v>8.0030398551700834</v>
      </c>
      <c r="H1739" s="1">
        <f t="shared" si="1065"/>
        <v>8.8187747700669412</v>
      </c>
      <c r="I1739" s="1">
        <f t="shared" si="1065"/>
        <v>10.178335005274397</v>
      </c>
      <c r="J1739" s="1">
        <f t="shared" si="1065"/>
        <v>11.537894467468691</v>
      </c>
      <c r="K1739" s="1">
        <f t="shared" si="1065"/>
        <v>7.6690269319112714</v>
      </c>
    </row>
    <row r="1740" spans="2:11" x14ac:dyDescent="0.25">
      <c r="B1740" t="str">
        <f t="shared" si="1058"/>
        <v>SPS2</v>
      </c>
      <c r="C1740" t="str">
        <f t="shared" si="1055"/>
        <v>CH</v>
      </c>
      <c r="D1740" t="s">
        <v>1773</v>
      </c>
      <c r="E1740" t="str">
        <f t="shared" ref="E1740:F1740" si="1066">E6</f>
        <v>PJ/yr.</v>
      </c>
      <c r="F1740" s="1">
        <f t="shared" si="1066"/>
        <v>2.6225302299153821</v>
      </c>
      <c r="G1740" s="1">
        <f t="shared" ref="G1740:K1740" si="1067">G6</f>
        <v>3.2650033834973482</v>
      </c>
      <c r="H1740" s="1">
        <f t="shared" si="1067"/>
        <v>4.2287164095724581</v>
      </c>
      <c r="I1740" s="1">
        <f t="shared" si="1067"/>
        <v>5.8349082073248031</v>
      </c>
      <c r="J1740" s="1">
        <f t="shared" si="1067"/>
        <v>4.2596696714774325</v>
      </c>
      <c r="K1740" s="1">
        <f t="shared" si="1067"/>
        <v>4.8053859611930241</v>
      </c>
    </row>
    <row r="1741" spans="2:11" x14ac:dyDescent="0.25">
      <c r="B1741" t="str">
        <f t="shared" si="1058"/>
        <v>SPS2</v>
      </c>
      <c r="C1741" t="str">
        <f t="shared" si="1055"/>
        <v>CH</v>
      </c>
      <c r="D1741" t="s">
        <v>1774</v>
      </c>
      <c r="E1741" t="str">
        <f t="shared" ref="E1741:F1741" si="1068">E7</f>
        <v>PJ/yr.</v>
      </c>
      <c r="F1741" s="1">
        <f t="shared" si="1068"/>
        <v>24.505917585405655</v>
      </c>
      <c r="G1741" s="1">
        <f t="shared" ref="G1741:K1741" si="1069">G7</f>
        <v>24.839900051217167</v>
      </c>
      <c r="H1741" s="1">
        <f t="shared" si="1069"/>
        <v>22.331883407316106</v>
      </c>
      <c r="I1741" s="1">
        <f t="shared" si="1069"/>
        <v>16.94180926425917</v>
      </c>
      <c r="J1741" s="1">
        <f t="shared" si="1069"/>
        <v>21.186015530777031</v>
      </c>
      <c r="K1741" s="1">
        <f t="shared" si="1069"/>
        <v>41.355248258841428</v>
      </c>
    </row>
    <row r="1742" spans="2:11" x14ac:dyDescent="0.25">
      <c r="B1742" t="str">
        <f t="shared" si="1058"/>
        <v>SPS2</v>
      </c>
      <c r="C1742" t="str">
        <f t="shared" si="1055"/>
        <v>CH</v>
      </c>
      <c r="D1742" t="s">
        <v>1775</v>
      </c>
      <c r="E1742" t="str">
        <f t="shared" ref="E1742:F1742" si="1070">E8</f>
        <v>PJ/yr.</v>
      </c>
      <c r="F1742" s="1">
        <f t="shared" si="1070"/>
        <v>70.031498162090116</v>
      </c>
      <c r="G1742" s="1">
        <f t="shared" ref="G1742:K1742" si="1071">G8</f>
        <v>70.338565712474363</v>
      </c>
      <c r="H1742" s="1">
        <f t="shared" si="1071"/>
        <v>70.132637510553664</v>
      </c>
      <c r="I1742" s="1">
        <f t="shared" si="1071"/>
        <v>74.600152177050376</v>
      </c>
      <c r="J1742" s="1">
        <f t="shared" si="1071"/>
        <v>78.225534517715147</v>
      </c>
      <c r="K1742" s="1">
        <f t="shared" si="1071"/>
        <v>83.658677841377823</v>
      </c>
    </row>
    <row r="1743" spans="2:11" x14ac:dyDescent="0.25">
      <c r="B1743" t="str">
        <f t="shared" si="1058"/>
        <v>SPS2</v>
      </c>
      <c r="C1743" t="str">
        <f t="shared" si="1055"/>
        <v>CH</v>
      </c>
      <c r="D1743" t="s">
        <v>1776</v>
      </c>
      <c r="E1743" t="str">
        <f t="shared" ref="E1743:F1743" si="1072">E9</f>
        <v>PJ/yr.</v>
      </c>
      <c r="F1743" s="1">
        <f t="shared" si="1072"/>
        <v>35.931065077020421</v>
      </c>
      <c r="G1743" s="1">
        <f t="shared" ref="G1743:K1743" si="1073">G9</f>
        <v>36.238128729118394</v>
      </c>
      <c r="H1743" s="1">
        <f t="shared" si="1073"/>
        <v>36.032197220195073</v>
      </c>
      <c r="I1743" s="1">
        <f t="shared" si="1073"/>
        <v>37.198082056220642</v>
      </c>
      <c r="J1743" s="1">
        <f t="shared" si="1073"/>
        <v>37.258340665740569</v>
      </c>
      <c r="K1743" s="1">
        <f t="shared" si="1073"/>
        <v>39.22161355911053</v>
      </c>
    </row>
    <row r="1744" spans="2:11" x14ac:dyDescent="0.25">
      <c r="B1744" t="str">
        <f t="shared" si="1058"/>
        <v>SPS2</v>
      </c>
      <c r="C1744" t="str">
        <f t="shared" si="1055"/>
        <v>CH</v>
      </c>
      <c r="D1744" t="s">
        <v>1777</v>
      </c>
      <c r="E1744" t="str">
        <f t="shared" ref="E1744:F1744" si="1074">E10</f>
        <v>PJ/yr.</v>
      </c>
      <c r="F1744" s="1">
        <f t="shared" si="1074"/>
        <v>34.100433085069703</v>
      </c>
      <c r="G1744" s="1">
        <f t="shared" ref="G1744:K1744" si="1075">G10</f>
        <v>34.100436983355969</v>
      </c>
      <c r="H1744" s="1">
        <f t="shared" si="1075"/>
        <v>34.100440290358591</v>
      </c>
      <c r="I1744" s="1">
        <f t="shared" si="1075"/>
        <v>37.402070120829741</v>
      </c>
      <c r="J1744" s="1">
        <f t="shared" si="1075"/>
        <v>40.967193851974571</v>
      </c>
      <c r="K1744" s="1">
        <f t="shared" si="1075"/>
        <v>44.437064282267286</v>
      </c>
    </row>
    <row r="1745" spans="2:11" x14ac:dyDescent="0.25">
      <c r="B1745" t="str">
        <f t="shared" si="1058"/>
        <v>SPS2</v>
      </c>
      <c r="C1745" t="str">
        <f t="shared" si="1055"/>
        <v>CH</v>
      </c>
      <c r="D1745" t="s">
        <v>1778</v>
      </c>
      <c r="E1745" t="str">
        <f t="shared" ref="E1745:F1745" si="1076">E11</f>
        <v>PJ/yr.</v>
      </c>
      <c r="F1745" s="1">
        <f t="shared" si="1076"/>
        <v>3.7980876829412953</v>
      </c>
      <c r="G1745" s="1">
        <f t="shared" ref="G1745:K1745" si="1077">G11</f>
        <v>8.6892066078369918</v>
      </c>
      <c r="H1745" s="1">
        <f t="shared" si="1077"/>
        <v>10.245838458506212</v>
      </c>
      <c r="I1745" s="1">
        <f t="shared" si="1077"/>
        <v>17.106685580860646</v>
      </c>
      <c r="J1745" s="1">
        <f t="shared" si="1077"/>
        <v>18.744905057276096</v>
      </c>
      <c r="K1745" s="1">
        <f t="shared" si="1077"/>
        <v>26.99999817486766</v>
      </c>
    </row>
    <row r="1746" spans="2:11" x14ac:dyDescent="0.25">
      <c r="B1746" t="str">
        <f t="shared" si="1058"/>
        <v>SPS2</v>
      </c>
      <c r="C1746" t="str">
        <f t="shared" si="1055"/>
        <v>CH</v>
      </c>
      <c r="D1746" t="s">
        <v>1779</v>
      </c>
      <c r="E1746" t="str">
        <f t="shared" ref="E1746:F1746" si="1078">E12</f>
        <v>PJ/yr.</v>
      </c>
      <c r="F1746" s="1">
        <f t="shared" si="1078"/>
        <v>149.4304843930116</v>
      </c>
      <c r="G1746" s="1">
        <f t="shared" ref="G1746:K1746" si="1079">G12</f>
        <v>125.60771568342508</v>
      </c>
      <c r="H1746" s="1">
        <f t="shared" si="1079"/>
        <v>173.65669953048325</v>
      </c>
      <c r="I1746" s="1">
        <f t="shared" si="1079"/>
        <v>150.77810578199643</v>
      </c>
      <c r="J1746" s="1">
        <f t="shared" si="1079"/>
        <v>153.75605057547352</v>
      </c>
      <c r="K1746" s="1">
        <f t="shared" si="1079"/>
        <v>157.73287872730955</v>
      </c>
    </row>
    <row r="1747" spans="2:11" x14ac:dyDescent="0.25">
      <c r="B1747" t="str">
        <f t="shared" si="1058"/>
        <v>SPS2</v>
      </c>
      <c r="C1747" t="str">
        <f t="shared" si="1055"/>
        <v>CH</v>
      </c>
      <c r="D1747" t="s">
        <v>1780</v>
      </c>
      <c r="E1747" t="str">
        <f t="shared" ref="E1747:F1747" si="1080">E13</f>
        <v>PJ/yr.</v>
      </c>
      <c r="F1747" s="1">
        <f t="shared" si="1080"/>
        <v>66.745680037436841</v>
      </c>
      <c r="G1747" s="1">
        <f t="shared" ref="G1747:K1747" si="1081">G13</f>
        <v>49.798798693986065</v>
      </c>
      <c r="H1747" s="1">
        <f t="shared" si="1081"/>
        <v>68.535157590789154</v>
      </c>
      <c r="I1747" s="1">
        <f t="shared" si="1081"/>
        <v>70.23000454847741</v>
      </c>
      <c r="J1747" s="1">
        <f t="shared" si="1081"/>
        <v>70.772721031926437</v>
      </c>
      <c r="K1747" s="1">
        <f t="shared" si="1081"/>
        <v>74.336055534228123</v>
      </c>
    </row>
    <row r="1748" spans="2:11" x14ac:dyDescent="0.25">
      <c r="B1748" t="str">
        <f t="shared" si="1058"/>
        <v>SPS2</v>
      </c>
      <c r="C1748" t="str">
        <f t="shared" si="1055"/>
        <v>CH</v>
      </c>
      <c r="D1748" t="s">
        <v>1781</v>
      </c>
      <c r="E1748" t="str">
        <f t="shared" ref="E1748:F1748" si="1082">E14</f>
        <v>PJ/yr.</v>
      </c>
      <c r="F1748" s="1">
        <f t="shared" si="1082"/>
        <v>66.632401819639057</v>
      </c>
      <c r="G1748" s="1">
        <f t="shared" ref="G1748:K1748" si="1083">G14</f>
        <v>55.764000216803026</v>
      </c>
      <c r="H1748" s="1">
        <f t="shared" si="1083"/>
        <v>65.550182888372618</v>
      </c>
      <c r="I1748" s="1">
        <f t="shared" si="1083"/>
        <v>64.469267731764319</v>
      </c>
      <c r="J1748" s="1">
        <f t="shared" si="1083"/>
        <v>66.300719994511383</v>
      </c>
      <c r="K1748" s="1">
        <f t="shared" si="1083"/>
        <v>66.134974085555285</v>
      </c>
    </row>
    <row r="1749" spans="2:11" x14ac:dyDescent="0.25">
      <c r="B1749" t="str">
        <f t="shared" si="1058"/>
        <v>SPS2</v>
      </c>
      <c r="C1749" t="str">
        <f t="shared" si="1055"/>
        <v>CH</v>
      </c>
      <c r="D1749" t="s">
        <v>1782</v>
      </c>
      <c r="E1749" t="str">
        <f t="shared" ref="E1749:F1749" si="1084">E15</f>
        <v>PJ/yr.</v>
      </c>
      <c r="F1749" s="1">
        <f t="shared" si="1084"/>
        <v>16.052402535935702</v>
      </c>
      <c r="G1749" s="1">
        <f t="shared" ref="G1749:K1749" si="1085">G15</f>
        <v>20.044916772635993</v>
      </c>
      <c r="H1749" s="1">
        <f t="shared" si="1085"/>
        <v>39.571359051321465</v>
      </c>
      <c r="I1749" s="1">
        <f t="shared" si="1085"/>
        <v>16.078833501754708</v>
      </c>
      <c r="J1749" s="1">
        <f t="shared" si="1085"/>
        <v>16.682609549035714</v>
      </c>
      <c r="K1749" s="1">
        <f t="shared" si="1085"/>
        <v>17.261849107526164</v>
      </c>
    </row>
    <row r="1750" spans="2:11" x14ac:dyDescent="0.25">
      <c r="B1750" t="str">
        <f t="shared" si="1058"/>
        <v>SPS2</v>
      </c>
      <c r="C1750" t="str">
        <f t="shared" si="1055"/>
        <v>CH</v>
      </c>
      <c r="D1750" t="s">
        <v>1783</v>
      </c>
      <c r="E1750" t="str">
        <f t="shared" ref="E1750:F1750" si="1086">E16</f>
        <v>PJ/yr.</v>
      </c>
      <c r="F1750" s="1">
        <f t="shared" si="1086"/>
        <v>12.556459023715597</v>
      </c>
      <c r="G1750" s="1">
        <f t="shared" ref="G1750:K1750" si="1087">G16</f>
        <v>16.523444066868979</v>
      </c>
      <c r="H1750" s="1">
        <f t="shared" si="1087"/>
        <v>30.353641059401095</v>
      </c>
      <c r="I1750" s="1">
        <f t="shared" si="1087"/>
        <v>71.329667733820216</v>
      </c>
      <c r="J1750" s="1">
        <f t="shared" si="1087"/>
        <v>116.86620994328116</v>
      </c>
      <c r="K1750" s="1">
        <f t="shared" si="1087"/>
        <v>180.24493800989066</v>
      </c>
    </row>
    <row r="1751" spans="2:11" x14ac:dyDescent="0.25">
      <c r="B1751" t="str">
        <f t="shared" si="1058"/>
        <v>SPS2</v>
      </c>
      <c r="C1751" t="str">
        <f t="shared" si="1055"/>
        <v>CH</v>
      </c>
      <c r="D1751" t="s">
        <v>1784</v>
      </c>
      <c r="E1751" t="str">
        <f t="shared" ref="E1751:F1751" si="1088">E17</f>
        <v>PJ/yr.</v>
      </c>
      <c r="F1751" s="1">
        <f t="shared" si="1088"/>
        <v>0.5240193686406931</v>
      </c>
      <c r="G1751" s="1">
        <f t="shared" ref="G1751:K1751" si="1089">G17</f>
        <v>0.54529293919164612</v>
      </c>
      <c r="H1751" s="1">
        <f t="shared" si="1089"/>
        <v>0.50412202545434504</v>
      </c>
      <c r="I1751" s="1">
        <f t="shared" si="1089"/>
        <v>2.523777818145168</v>
      </c>
      <c r="J1751" s="1">
        <f t="shared" si="1089"/>
        <v>5.2768215711191102</v>
      </c>
      <c r="K1751" s="1">
        <f t="shared" si="1089"/>
        <v>10.794175917864059</v>
      </c>
    </row>
    <row r="1752" spans="2:11" x14ac:dyDescent="0.25">
      <c r="B1752" t="str">
        <f t="shared" si="1058"/>
        <v>SPS2</v>
      </c>
      <c r="C1752" t="str">
        <f t="shared" si="1055"/>
        <v>CH</v>
      </c>
      <c r="D1752" t="s">
        <v>1785</v>
      </c>
      <c r="E1752" t="str">
        <f t="shared" ref="E1752:F1752" si="1090">E18</f>
        <v>PJ/yr.</v>
      </c>
      <c r="F1752" s="1">
        <f t="shared" si="1090"/>
        <v>18.87304673473124</v>
      </c>
      <c r="G1752" s="1">
        <f t="shared" ref="G1752:K1752" si="1091">G18</f>
        <v>21.778214840355471</v>
      </c>
      <c r="H1752" s="1">
        <f t="shared" si="1091"/>
        <v>31.665582233539226</v>
      </c>
      <c r="I1752" s="1">
        <f t="shared" si="1091"/>
        <v>50.456793767152647</v>
      </c>
      <c r="J1752" s="1">
        <f t="shared" si="1091"/>
        <v>79.175370462473282</v>
      </c>
      <c r="K1752" s="1">
        <f t="shared" si="1091"/>
        <v>87.849329362759491</v>
      </c>
    </row>
    <row r="1753" spans="2:11" x14ac:dyDescent="0.25">
      <c r="B1753" t="str">
        <f t="shared" si="1058"/>
        <v>SPS2</v>
      </c>
      <c r="C1753" t="str">
        <f t="shared" si="1055"/>
        <v>CH</v>
      </c>
      <c r="D1753" t="s">
        <v>1786</v>
      </c>
      <c r="E1753" t="str">
        <f t="shared" ref="E1753:F1753" si="1092">E19</f>
        <v>PJ/yr.</v>
      </c>
      <c r="F1753" s="1">
        <f t="shared" si="1092"/>
        <v>0</v>
      </c>
      <c r="G1753" s="1">
        <f t="shared" ref="G1753:K1753" si="1093">G19</f>
        <v>0</v>
      </c>
      <c r="H1753" s="1">
        <f t="shared" si="1093"/>
        <v>0</v>
      </c>
      <c r="I1753" s="1">
        <f t="shared" si="1093"/>
        <v>0</v>
      </c>
      <c r="J1753" s="1">
        <f t="shared" si="1093"/>
        <v>0.10216819383757901</v>
      </c>
      <c r="K1753" s="1">
        <f t="shared" si="1093"/>
        <v>0.10317052147923265</v>
      </c>
    </row>
    <row r="1754" spans="2:11" x14ac:dyDescent="0.25">
      <c r="B1754" s="9" t="str">
        <f t="shared" si="1058"/>
        <v>SPS2</v>
      </c>
      <c r="C1754" s="2" t="str">
        <f t="shared" si="1055"/>
        <v>CH</v>
      </c>
      <c r="D1754" s="2" t="s">
        <v>1789</v>
      </c>
      <c r="E1754" s="2" t="s">
        <v>1858</v>
      </c>
      <c r="F1754" s="3">
        <f t="shared" ref="F1754:K1754" si="1094">SUM(F1755,F1757,F1761,F1765,F1781,F1788,F1796,F1798,F1806,F1810,F1804)</f>
        <v>22.311400692206515</v>
      </c>
      <c r="G1754" s="3">
        <f t="shared" si="1094"/>
        <v>24.567468561723601</v>
      </c>
      <c r="H1754" s="3">
        <f t="shared" si="1094"/>
        <v>29.450066849789728</v>
      </c>
      <c r="I1754" s="3">
        <f t="shared" si="1094"/>
        <v>40.832816016145578</v>
      </c>
      <c r="J1754" s="3">
        <f t="shared" si="1094"/>
        <v>54.810093371902944</v>
      </c>
      <c r="K1754" s="3">
        <f t="shared" si="1094"/>
        <v>75.121819672792839</v>
      </c>
    </row>
    <row r="1755" spans="2:11" x14ac:dyDescent="0.25">
      <c r="B1755" s="5" t="str">
        <f t="shared" si="1058"/>
        <v>SPS2</v>
      </c>
      <c r="C1755" s="5" t="str">
        <f t="shared" si="1055"/>
        <v>CH</v>
      </c>
      <c r="D1755" t="s">
        <v>1791</v>
      </c>
      <c r="E1755" t="str">
        <f>E1754</f>
        <v>GWe/yr.</v>
      </c>
      <c r="F1755" s="1">
        <f>+F1756</f>
        <v>3.0805587219222113</v>
      </c>
      <c r="G1755" s="1">
        <f t="shared" ref="G1755:K1755" si="1095">+G1756</f>
        <v>3.0805587219222113</v>
      </c>
      <c r="H1755" s="1">
        <f t="shared" si="1095"/>
        <v>2.8402417135845561</v>
      </c>
      <c r="I1755" s="1">
        <f t="shared" si="1095"/>
        <v>2.6090415664829618</v>
      </c>
      <c r="J1755" s="1">
        <f t="shared" si="1095"/>
        <v>1.2356851844506809</v>
      </c>
      <c r="K1755" s="1">
        <f t="shared" si="1095"/>
        <v>0</v>
      </c>
    </row>
    <row r="1756" spans="2:11" x14ac:dyDescent="0.25">
      <c r="B1756" s="5" t="str">
        <f t="shared" si="1058"/>
        <v>SPS2</v>
      </c>
      <c r="C1756" s="5" t="str">
        <f t="shared" si="1055"/>
        <v>CH</v>
      </c>
      <c r="D1756" t="s">
        <v>1792</v>
      </c>
      <c r="E1756" t="str">
        <f t="shared" ref="E1756:E1817" si="1096">E1755</f>
        <v>GWe/yr.</v>
      </c>
      <c r="F1756" s="1">
        <f>'[1]Electricity and CHPs_CAP'!B$14</f>
        <v>3.0805587219222113</v>
      </c>
      <c r="G1756" s="1">
        <f>'[1]Electricity and CHPs_CAP'!C$14</f>
        <v>3.0805587219222113</v>
      </c>
      <c r="H1756" s="1">
        <f>'[1]Electricity and CHPs_CAP'!D$14</f>
        <v>2.8402417135845561</v>
      </c>
      <c r="I1756" s="1">
        <f>'[1]Electricity and CHPs_CAP'!E$14</f>
        <v>2.6090415664829618</v>
      </c>
      <c r="J1756" s="1">
        <f>'[1]Electricity and CHPs_CAP'!F$14</f>
        <v>1.2356851844506809</v>
      </c>
      <c r="K1756" s="1">
        <f>'[1]Electricity and CHPs_CAP'!G$14</f>
        <v>0</v>
      </c>
    </row>
    <row r="1757" spans="2:11" x14ac:dyDescent="0.25">
      <c r="B1757" s="5" t="str">
        <f t="shared" si="1058"/>
        <v>SPS2</v>
      </c>
      <c r="C1757" s="5" t="str">
        <f t="shared" si="1055"/>
        <v>CH</v>
      </c>
      <c r="D1757" t="s">
        <v>1793</v>
      </c>
      <c r="E1757" t="str">
        <f t="shared" si="1096"/>
        <v>GWe/yr.</v>
      </c>
      <c r="F1757" s="1">
        <f>SUM(F1758:F1760)</f>
        <v>15.403610001059999</v>
      </c>
      <c r="G1757" s="1">
        <f t="shared" ref="G1757:K1757" si="1097">SUM(G1758:G1760)</f>
        <v>16.121394971725714</v>
      </c>
      <c r="H1757" s="1">
        <f t="shared" si="1097"/>
        <v>16.567155064154711</v>
      </c>
      <c r="I1757" s="1">
        <f t="shared" si="1097"/>
        <v>16.641294313253269</v>
      </c>
      <c r="J1757" s="1">
        <f t="shared" si="1097"/>
        <v>17.094513005004423</v>
      </c>
      <c r="K1757" s="1">
        <f t="shared" si="1097"/>
        <v>17.322785333256505</v>
      </c>
    </row>
    <row r="1758" spans="2:11" x14ac:dyDescent="0.25">
      <c r="B1758" s="5" t="str">
        <f t="shared" si="1058"/>
        <v>SPS2</v>
      </c>
      <c r="C1758" s="5" t="str">
        <f t="shared" si="1055"/>
        <v>CH</v>
      </c>
      <c r="D1758" t="s">
        <v>1794</v>
      </c>
      <c r="E1758" t="str">
        <f t="shared" si="1096"/>
        <v>GWe/yr.</v>
      </c>
      <c r="F1758" s="1">
        <f>'[1]Electricity and CHPs_CAP'!B$15</f>
        <v>7.3394300010600002</v>
      </c>
      <c r="G1758" s="1">
        <f>'[1]Electricity and CHPs_CAP'!C$15</f>
        <v>7.3423602840720656</v>
      </c>
      <c r="H1758" s="1">
        <f>'[1]Electricity and CHPs_CAP'!D$15</f>
        <v>7.3460548711167428</v>
      </c>
      <c r="I1758" s="1">
        <f>'[1]Electricity and CHPs_CAP'!E$15</f>
        <v>7.4161649750694112</v>
      </c>
      <c r="J1758" s="1">
        <f>'[1]Electricity and CHPs_CAP'!F$15</f>
        <v>7.5849028726349843</v>
      </c>
      <c r="K1758" s="1">
        <f>'[1]Electricity and CHPs_CAP'!G$15</f>
        <v>7.6707151468008812</v>
      </c>
    </row>
    <row r="1759" spans="2:11" x14ac:dyDescent="0.25">
      <c r="B1759" s="5" t="str">
        <f t="shared" si="1058"/>
        <v>SPS2</v>
      </c>
      <c r="C1759" s="5" t="str">
        <f t="shared" si="1055"/>
        <v>CH</v>
      </c>
      <c r="D1759" t="s">
        <v>1795</v>
      </c>
      <c r="E1759" t="str">
        <f t="shared" si="1096"/>
        <v>GWe/yr.</v>
      </c>
      <c r="F1759" s="1">
        <f>'[1]Electricity and CHPs_CAP'!B$16</f>
        <v>4.7247299999999992</v>
      </c>
      <c r="G1759" s="1">
        <f>'[1]Electricity and CHPs_CAP'!C$16</f>
        <v>4.8075703764766926</v>
      </c>
      <c r="H1759" s="1">
        <f>'[1]Electricity and CHPs_CAP'!D$16</f>
        <v>4.8612140203168508</v>
      </c>
      <c r="I1759" s="1">
        <f>'[1]Electricity and CHPs_CAP'!E$16</f>
        <v>4.8652426971701699</v>
      </c>
      <c r="J1759" s="1">
        <f>'[1]Electricity and CHPs_CAP'!F$16</f>
        <v>5.1496742891236185</v>
      </c>
      <c r="K1759" s="1">
        <f>'[1]Electricity and CHPs_CAP'!G$16</f>
        <v>5.2921337119321086</v>
      </c>
    </row>
    <row r="1760" spans="2:11" x14ac:dyDescent="0.25">
      <c r="B1760" s="5" t="str">
        <f t="shared" si="1058"/>
        <v>SPS2</v>
      </c>
      <c r="C1760" s="5" t="str">
        <f t="shared" si="1055"/>
        <v>CH</v>
      </c>
      <c r="D1760" t="s">
        <v>1796</v>
      </c>
      <c r="E1760" t="str">
        <f t="shared" si="1096"/>
        <v>GWe/yr.</v>
      </c>
      <c r="F1760" s="1">
        <f>'[1]Electricity and CHPs_CAP'!B$17</f>
        <v>3.3394499999999998</v>
      </c>
      <c r="G1760" s="1">
        <f>'[1]Electricity and CHPs_CAP'!C$17</f>
        <v>3.9714643111769536</v>
      </c>
      <c r="H1760" s="1">
        <f>'[1]Electricity and CHPs_CAP'!D$17</f>
        <v>4.3598861727211204</v>
      </c>
      <c r="I1760" s="1">
        <f>'[1]Electricity and CHPs_CAP'!E$17</f>
        <v>4.3598866410136878</v>
      </c>
      <c r="J1760" s="1">
        <f>'[1]Electricity and CHPs_CAP'!F$17</f>
        <v>4.3599358432458191</v>
      </c>
      <c r="K1760" s="1">
        <f>'[1]Electricity and CHPs_CAP'!G$17</f>
        <v>4.3599364745235141</v>
      </c>
    </row>
    <row r="1761" spans="2:11" x14ac:dyDescent="0.25">
      <c r="B1761" s="5" t="str">
        <f t="shared" si="1058"/>
        <v>SPS2</v>
      </c>
      <c r="C1761" s="5" t="str">
        <f>C1752</f>
        <v>CH</v>
      </c>
      <c r="D1761" t="s">
        <v>1797</v>
      </c>
      <c r="E1761" t="str">
        <f t="shared" si="1096"/>
        <v>GWe/yr.</v>
      </c>
      <c r="F1761" s="1">
        <f>SUM(F1762:F1764)</f>
        <v>2.2480230916061827E-2</v>
      </c>
      <c r="G1761" s="1">
        <f t="shared" ref="G1761:K1761" si="1098">SUM(G1762:G1764)</f>
        <v>1.2294410792959284E-2</v>
      </c>
      <c r="H1761" s="1">
        <f t="shared" si="1098"/>
        <v>1.2156499920728713E-2</v>
      </c>
      <c r="I1761" s="1">
        <f t="shared" si="1098"/>
        <v>1.5370870444357417E-2</v>
      </c>
      <c r="J1761" s="1">
        <f t="shared" si="1098"/>
        <v>5.3441854501857363E-3</v>
      </c>
      <c r="K1761" s="1">
        <f t="shared" si="1098"/>
        <v>5.7853752090669534E-4</v>
      </c>
    </row>
    <row r="1762" spans="2:11" x14ac:dyDescent="0.25">
      <c r="B1762" s="5" t="str">
        <f t="shared" si="1058"/>
        <v>SPS2</v>
      </c>
      <c r="C1762" s="5" t="str">
        <f>C1761</f>
        <v>CH</v>
      </c>
      <c r="D1762" t="s">
        <v>1798</v>
      </c>
      <c r="E1762" t="str">
        <f t="shared" si="1096"/>
        <v>GWe/yr.</v>
      </c>
      <c r="F1762" s="1">
        <f>'[1]Electricity and CHPs_CAP'!B$18</f>
        <v>1.2047873561833802E-2</v>
      </c>
      <c r="G1762" s="1">
        <f>'[1]Electricity and CHPs_CAP'!C$18</f>
        <v>2.5746644488540693E-3</v>
      </c>
      <c r="H1762" s="1">
        <f>'[1]Electricity and CHPs_CAP'!D$18</f>
        <v>2.4962895515012601E-3</v>
      </c>
      <c r="I1762" s="1">
        <f>'[1]Electricity and CHPs_CAP'!E$18</f>
        <v>2.4621321449781412E-3</v>
      </c>
      <c r="J1762" s="1">
        <f>'[1]Electricity and CHPs_CAP'!F$18</f>
        <v>2.6805494280490068E-3</v>
      </c>
      <c r="K1762" s="1">
        <f>'[1]Electricity and CHPs_CAP'!G$18</f>
        <v>2.9435343377879751E-4</v>
      </c>
    </row>
    <row r="1763" spans="2:11" x14ac:dyDescent="0.25">
      <c r="B1763" s="5" t="str">
        <f t="shared" si="1058"/>
        <v>SPS2</v>
      </c>
      <c r="C1763" s="5" t="str">
        <f t="shared" ref="B1763:C1764" si="1099">C1762</f>
        <v>CH</v>
      </c>
      <c r="D1763" t="s">
        <v>1799</v>
      </c>
      <c r="E1763" t="str">
        <f t="shared" si="1096"/>
        <v>GWe/yr.</v>
      </c>
      <c r="F1763" s="1">
        <f>'[1]Electricity and CHPs_CAP'!B$28</f>
        <v>2.1272803974900605E-3</v>
      </c>
      <c r="G1763" s="1">
        <f>'[1]Electricity and CHPs_CAP'!C$28</f>
        <v>9.5382930700791367E-4</v>
      </c>
      <c r="H1763" s="1">
        <f>'[1]Electricity and CHPs_CAP'!D$28</f>
        <v>8.9427452496815968E-4</v>
      </c>
      <c r="I1763" s="1">
        <f>'[1]Electricity and CHPs_CAP'!E$28</f>
        <v>6.7045166427288135E-4</v>
      </c>
      <c r="J1763" s="1">
        <f>'[1]Electricity and CHPs_CAP'!F$28</f>
        <v>2.4893953472060503E-4</v>
      </c>
      <c r="K1763" s="1">
        <f>'[1]Electricity and CHPs_CAP'!G$28</f>
        <v>1.0185066388425444E-4</v>
      </c>
    </row>
    <row r="1764" spans="2:11" x14ac:dyDescent="0.25">
      <c r="B1764" s="5" t="str">
        <f t="shared" si="1058"/>
        <v>SPS2</v>
      </c>
      <c r="C1764" s="5" t="str">
        <f t="shared" si="1099"/>
        <v>CH</v>
      </c>
      <c r="D1764" t="s">
        <v>1800</v>
      </c>
      <c r="E1764" t="str">
        <f t="shared" si="1096"/>
        <v>GWe/yr.</v>
      </c>
      <c r="F1764" s="1">
        <f>'[1]Electricity and CHPs_CAP'!B$41</f>
        <v>8.3050769567379629E-3</v>
      </c>
      <c r="G1764" s="1">
        <f>'[1]Electricity and CHPs_CAP'!C$41</f>
        <v>8.7659170370973007E-3</v>
      </c>
      <c r="H1764" s="1">
        <f>'[1]Electricity and CHPs_CAP'!D$41</f>
        <v>8.7659358442592934E-3</v>
      </c>
      <c r="I1764" s="1">
        <f>'[1]Electricity and CHPs_CAP'!E$41</f>
        <v>1.2238286635106396E-2</v>
      </c>
      <c r="J1764" s="1">
        <f>'[1]Electricity and CHPs_CAP'!F$41</f>
        <v>2.4146964874161244E-3</v>
      </c>
      <c r="K1764" s="1">
        <f>'[1]Electricity and CHPs_CAP'!G$41</f>
        <v>1.8233342324364336E-4</v>
      </c>
    </row>
    <row r="1765" spans="2:11" x14ac:dyDescent="0.25">
      <c r="B1765" s="5" t="str">
        <f t="shared" si="1058"/>
        <v>SPS2</v>
      </c>
      <c r="C1765" s="5" t="str">
        <f>C1764</f>
        <v>CH</v>
      </c>
      <c r="D1765" t="s">
        <v>1801</v>
      </c>
      <c r="E1765" t="str">
        <f t="shared" si="1096"/>
        <v>GWe/yr.</v>
      </c>
      <c r="F1765" s="1">
        <f>SUM(F1766:F1780)</f>
        <v>0.22200655282406356</v>
      </c>
      <c r="G1765" s="1">
        <f t="shared" ref="G1765:K1765" si="1100">SUM(G1766:G1780)</f>
        <v>0.40255428645451419</v>
      </c>
      <c r="H1765" s="1">
        <f t="shared" si="1100"/>
        <v>0.2413289565438223</v>
      </c>
      <c r="I1765" s="1">
        <f t="shared" si="1100"/>
        <v>0.26593861745939484</v>
      </c>
      <c r="J1765" s="1">
        <f t="shared" si="1100"/>
        <v>0.36624790858101769</v>
      </c>
      <c r="K1765" s="1">
        <f t="shared" si="1100"/>
        <v>0.25609029957923235</v>
      </c>
    </row>
    <row r="1766" spans="2:11" x14ac:dyDescent="0.25">
      <c r="B1766" s="5" t="str">
        <f t="shared" si="1058"/>
        <v>SPS2</v>
      </c>
      <c r="C1766" s="5" t="str">
        <f t="shared" ref="B1766:C1779" si="1101">C1765</f>
        <v>CH</v>
      </c>
      <c r="D1766" t="s">
        <v>1802</v>
      </c>
      <c r="E1766" t="str">
        <f t="shared" si="1096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2.5022529636189398E-3</v>
      </c>
      <c r="K1766" s="1">
        <f>'[1]Electricity and CHPs_CAP'!G$21</f>
        <v>2.0228314712342991E-4</v>
      </c>
    </row>
    <row r="1767" spans="2:11" x14ac:dyDescent="0.25">
      <c r="B1767" s="5" t="str">
        <f t="shared" si="1058"/>
        <v>SPS2</v>
      </c>
      <c r="C1767" s="5" t="str">
        <f t="shared" si="1101"/>
        <v>CH</v>
      </c>
      <c r="D1767" t="s">
        <v>1803</v>
      </c>
      <c r="E1767" t="str">
        <f t="shared" si="1096"/>
        <v>GWe/yr.</v>
      </c>
      <c r="F1767" s="1">
        <f>'[1]Electricity and CHPs_CAP'!B$22</f>
        <v>0</v>
      </c>
      <c r="G1767" s="1">
        <f>'[1]Electricity and CHPs_CAP'!C$22</f>
        <v>0.25000028799066798</v>
      </c>
      <c r="H1767" s="1">
        <f>'[1]Electricity and CHPs_CAP'!D$22</f>
        <v>0.14245590136653297</v>
      </c>
      <c r="I1767" s="1">
        <f>'[1]Electricity and CHPs_CAP'!E$22</f>
        <v>0.14245106106009203</v>
      </c>
      <c r="J1767" s="1">
        <f>'[1]Electricity and CHPs_CAP'!F$22</f>
        <v>0.142453358501136</v>
      </c>
      <c r="K1767" s="1">
        <f>'[1]Electricity and CHPs_CAP'!G$22</f>
        <v>2.5011368111254501E-2</v>
      </c>
    </row>
    <row r="1768" spans="2:11" x14ac:dyDescent="0.25">
      <c r="B1768" s="5" t="str">
        <f t="shared" si="1058"/>
        <v>SPS2</v>
      </c>
      <c r="C1768" s="5" t="str">
        <f t="shared" si="1101"/>
        <v>CH</v>
      </c>
      <c r="D1768" t="s">
        <v>1804</v>
      </c>
      <c r="E1768" t="str">
        <f t="shared" si="1096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3.2269169525990602E-4</v>
      </c>
      <c r="K1768" s="1">
        <f>'[1]Electricity and CHPs_CAP'!G$23</f>
        <v>3.2312074453199371E-4</v>
      </c>
    </row>
    <row r="1769" spans="2:11" x14ac:dyDescent="0.25">
      <c r="B1769" s="5" t="str">
        <f t="shared" si="1058"/>
        <v>SPS2</v>
      </c>
      <c r="C1769" s="5" t="str">
        <f t="shared" si="1101"/>
        <v>CH</v>
      </c>
      <c r="D1769" t="s">
        <v>1805</v>
      </c>
      <c r="E1769" t="str">
        <f t="shared" si="1096"/>
        <v>GWe/yr.</v>
      </c>
      <c r="F1769" s="1">
        <f>'[1]Electricity and CHPs_CAP'!B$24</f>
        <v>4.5282160391311096E-2</v>
      </c>
      <c r="G1769" s="1">
        <f>'[1]Electricity and CHPs_CAP'!C$24</f>
        <v>2.1050122833346507E-4</v>
      </c>
      <c r="H1769" s="1">
        <f>'[1]Electricity and CHPs_CAP'!D$24</f>
        <v>6.5731092401487279E-4</v>
      </c>
      <c r="I1769" s="1">
        <f>'[1]Electricity and CHPs_CAP'!E$24</f>
        <v>6.4075908407064397E-4</v>
      </c>
      <c r="J1769" s="1">
        <f>'[1]Electricity and CHPs_CAP'!F$24</f>
        <v>2.6736300166544493E-3</v>
      </c>
      <c r="K1769" s="1">
        <f>'[1]Electricity and CHPs_CAP'!G$24</f>
        <v>5.6633042214510043E-5</v>
      </c>
    </row>
    <row r="1770" spans="2:11" x14ac:dyDescent="0.25">
      <c r="B1770" s="5" t="str">
        <f t="shared" si="1058"/>
        <v>SPS2</v>
      </c>
      <c r="C1770" s="5" t="str">
        <f t="shared" si="1101"/>
        <v>CH</v>
      </c>
      <c r="D1770" t="s">
        <v>1806</v>
      </c>
      <c r="E1770" t="str">
        <f t="shared" si="1096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1.34484858460821E-3</v>
      </c>
      <c r="K1770" s="1">
        <f>'[1]Electricity and CHPs_CAP'!G$29</f>
        <v>9.3671492560299871E-5</v>
      </c>
    </row>
    <row r="1771" spans="2:11" x14ac:dyDescent="0.25">
      <c r="B1771" s="5" t="str">
        <f t="shared" si="1058"/>
        <v>SPS2</v>
      </c>
      <c r="C1771" s="5" t="str">
        <f t="shared" si="1101"/>
        <v>CH</v>
      </c>
      <c r="D1771" t="s">
        <v>1807</v>
      </c>
      <c r="E1771" t="str">
        <f t="shared" si="1096"/>
        <v>GWe/yr.</v>
      </c>
      <c r="F1771" s="1">
        <f>'[1]Electricity and CHPs_CAP'!B$39</f>
        <v>2.5376430594404406E-2</v>
      </c>
      <c r="G1771" s="1">
        <f>'[1]Electricity and CHPs_CAP'!C$39</f>
        <v>1.8768728603967097E-2</v>
      </c>
      <c r="H1771" s="1">
        <f>'[1]Electricity and CHPs_CAP'!D$39</f>
        <v>1.1939375246057017E-2</v>
      </c>
      <c r="I1771" s="1">
        <f>'[1]Electricity and CHPs_CAP'!E$39</f>
        <v>3.7057383361055594E-2</v>
      </c>
      <c r="J1771" s="1">
        <f>'[1]Electricity and CHPs_CAP'!F$39</f>
        <v>0.11453391045048855</v>
      </c>
      <c r="K1771" s="1">
        <f>'[1]Electricity and CHPs_CAP'!G$39</f>
        <v>8.9788109956695561E-2</v>
      </c>
    </row>
    <row r="1772" spans="2:11" x14ac:dyDescent="0.25">
      <c r="B1772" s="5" t="str">
        <f t="shared" si="1058"/>
        <v>SPS2</v>
      </c>
      <c r="C1772" s="5" t="str">
        <f t="shared" si="1101"/>
        <v>CH</v>
      </c>
      <c r="D1772" t="s">
        <v>1808</v>
      </c>
      <c r="E1772" t="str">
        <f t="shared" si="1096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3.65816055150011E-4</v>
      </c>
      <c r="K1772" s="1">
        <f>'[1]Electricity and CHPs_CAP'!G$40</f>
        <v>5.5223527873438448E-2</v>
      </c>
    </row>
    <row r="1773" spans="2:11" x14ac:dyDescent="0.25">
      <c r="B1773" s="5" t="str">
        <f t="shared" si="1058"/>
        <v>SPS2</v>
      </c>
      <c r="C1773" s="5" t="str">
        <f t="shared" si="1101"/>
        <v>CH</v>
      </c>
      <c r="D1773" t="s">
        <v>1809</v>
      </c>
      <c r="E1773" t="str">
        <f t="shared" si="1096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1.21071885432483E-4</v>
      </c>
      <c r="J1773" s="1">
        <f>'[1]Electricity and CHPs_CAP'!F$47</f>
        <v>2.7795225996868442E-4</v>
      </c>
      <c r="K1773" s="1">
        <f>'[1]Electricity and CHPs_CAP'!G$47</f>
        <v>1.0763681420492891E-4</v>
      </c>
    </row>
    <row r="1774" spans="2:11" x14ac:dyDescent="0.25">
      <c r="B1774" s="5" t="str">
        <f t="shared" si="1058"/>
        <v>SPS2</v>
      </c>
      <c r="C1774" s="5" t="str">
        <f t="shared" si="1101"/>
        <v>CH</v>
      </c>
      <c r="D1774" t="s">
        <v>1810</v>
      </c>
      <c r="E1774" t="str">
        <f t="shared" si="1096"/>
        <v>GWe/yr.</v>
      </c>
      <c r="F1774" s="1">
        <f>'[1]Electricity and CHPs_CAP'!B$48</f>
        <v>4.1749985791059603E-3</v>
      </c>
      <c r="G1774" s="1">
        <f>'[1]Electricity and CHPs_CAP'!C$48</f>
        <v>5.8683365762822362E-4</v>
      </c>
      <c r="H1774" s="1">
        <f>'[1]Electricity and CHPs_CAP'!D$48</f>
        <v>6.059104463617545E-4</v>
      </c>
      <c r="I1774" s="1">
        <f>'[1]Electricity and CHPs_CAP'!E$48</f>
        <v>3.1065317035088908E-4</v>
      </c>
      <c r="J1774" s="1">
        <f>'[1]Electricity and CHPs_CAP'!F$48</f>
        <v>2.4819076771272187E-4</v>
      </c>
      <c r="K1774" s="1">
        <f>'[1]Electricity and CHPs_CAP'!G$48</f>
        <v>1.0124122727367525E-4</v>
      </c>
    </row>
    <row r="1775" spans="2:11" x14ac:dyDescent="0.25">
      <c r="B1775" s="5" t="str">
        <f t="shared" si="1058"/>
        <v>SPS2</v>
      </c>
      <c r="C1775" s="5" t="str">
        <f t="shared" si="1101"/>
        <v>CH</v>
      </c>
      <c r="D1775" t="s">
        <v>1811</v>
      </c>
      <c r="E1775" t="str">
        <f t="shared" si="1096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2.3692601293891702E-5</v>
      </c>
      <c r="J1775" s="1">
        <f>'[1]Electricity and CHPs_CAP'!F$49</f>
        <v>6.5337776959259789E-5</v>
      </c>
      <c r="K1775" s="1">
        <f>'[1]Electricity and CHPs_CAP'!G$49</f>
        <v>4.1661298495924883E-5</v>
      </c>
    </row>
    <row r="1776" spans="2:11" x14ac:dyDescent="0.25">
      <c r="B1776" s="5" t="str">
        <f t="shared" si="1058"/>
        <v>SPS2</v>
      </c>
      <c r="C1776" s="5" t="str">
        <f t="shared" si="1101"/>
        <v>CH</v>
      </c>
      <c r="D1776" t="s">
        <v>1812</v>
      </c>
      <c r="E1776" t="str">
        <f t="shared" si="1096"/>
        <v>GWe/yr.</v>
      </c>
      <c r="F1776" s="1">
        <f>'[1]Electricity and CHPs_CAP'!B$51</f>
        <v>8.4604423320026809E-3</v>
      </c>
      <c r="G1776" s="1">
        <f>'[1]Electricity and CHPs_CAP'!C$51</f>
        <v>3.6412898863645484E-4</v>
      </c>
      <c r="H1776" s="1">
        <f>'[1]Electricity and CHPs_CAP'!D$51</f>
        <v>4.0435226628591912E-4</v>
      </c>
      <c r="I1776" s="1">
        <f>'[1]Electricity and CHPs_CAP'!E$51</f>
        <v>3.6334263463747062E-4</v>
      </c>
      <c r="J1776" s="1">
        <f>'[1]Electricity and CHPs_CAP'!F$51</f>
        <v>1.624590039157614E-2</v>
      </c>
      <c r="K1776" s="1">
        <f>'[1]Electricity and CHPs_CAP'!G$51</f>
        <v>1.5141186247513011E-4</v>
      </c>
    </row>
    <row r="1777" spans="2:11" x14ac:dyDescent="0.25">
      <c r="B1777" s="5" t="str">
        <f t="shared" si="1058"/>
        <v>SPS2</v>
      </c>
      <c r="C1777" s="5" t="str">
        <f t="shared" si="1101"/>
        <v>CH</v>
      </c>
      <c r="D1777" t="s">
        <v>1813</v>
      </c>
      <c r="E1777" t="str">
        <f t="shared" si="1096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7.5710711017442804E-5</v>
      </c>
      <c r="J1777" s="1">
        <f>'[1]Electricity and CHPs_CAP'!F$52</f>
        <v>2.3310999741685517E-4</v>
      </c>
      <c r="K1777" s="1">
        <f>'[1]Electricity and CHPs_CAP'!G$52</f>
        <v>1.5201030423248515E-4</v>
      </c>
    </row>
    <row r="1778" spans="2:11" x14ac:dyDescent="0.25">
      <c r="B1778" s="5" t="str">
        <f t="shared" si="1058"/>
        <v>SPS2</v>
      </c>
      <c r="C1778" s="5" t="str">
        <f t="shared" si="1101"/>
        <v>CH</v>
      </c>
      <c r="D1778" t="s">
        <v>1814</v>
      </c>
      <c r="E1778" t="str">
        <f t="shared" si="1096"/>
        <v>GWe/yr.</v>
      </c>
      <c r="F1778" s="1">
        <f>'[1]Electricity and CHPs_CAP'!B$54</f>
        <v>7.35127E-2</v>
      </c>
      <c r="G1778" s="1">
        <f>'[1]Electricity and CHPs_CAP'!C$54</f>
        <v>8.4746893117450012E-2</v>
      </c>
      <c r="H1778" s="1">
        <f>'[1]Electricity and CHPs_CAP'!D$54</f>
        <v>8.4746613492131473E-2</v>
      </c>
      <c r="I1778" s="1">
        <f>'[1]Electricity and CHPs_CAP'!E$54</f>
        <v>8.4748070264755962E-2</v>
      </c>
      <c r="J1778" s="1">
        <f>'[1]Electricity and CHPs_CAP'!F$54</f>
        <v>8.4748153433487211E-2</v>
      </c>
      <c r="K1778" s="1">
        <f>'[1]Electricity and CHPs_CAP'!G$54</f>
        <v>8.4747382334733987E-2</v>
      </c>
    </row>
    <row r="1779" spans="2:11" x14ac:dyDescent="0.25">
      <c r="B1779" s="5" t="str">
        <f t="shared" si="1058"/>
        <v>SPS2</v>
      </c>
      <c r="C1779" s="5" t="str">
        <f t="shared" si="1101"/>
        <v>CH</v>
      </c>
      <c r="D1779" t="s">
        <v>1815</v>
      </c>
      <c r="E1779" t="str">
        <f t="shared" si="1096"/>
        <v>GWe/yr.</v>
      </c>
      <c r="F1779" s="1">
        <f>'[1]Electricity and CHPs_CAP'!B$55</f>
        <v>6.5199820927239416E-2</v>
      </c>
      <c r="G1779" s="1">
        <f>'[1]Electricity and CHPs_CAP'!C$55</f>
        <v>4.787691286783094E-2</v>
      </c>
      <c r="H1779" s="1">
        <f>'[1]Electricity and CHPs_CAP'!D$55</f>
        <v>5.1949280243829971E-4</v>
      </c>
      <c r="I1779" s="1">
        <f>'[1]Electricity and CHPs_CAP'!E$55</f>
        <v>1.1273175309449435E-4</v>
      </c>
      <c r="J1779" s="1">
        <f>'[1]Electricity and CHPs_CAP'!F$55</f>
        <v>1.1302591193780055E-4</v>
      </c>
      <c r="K1779" s="1">
        <f>'[1]Electricity and CHPs_CAP'!G$55</f>
        <v>3.0256286769510498E-5</v>
      </c>
    </row>
    <row r="1780" spans="2:11" x14ac:dyDescent="0.25">
      <c r="B1780" s="5" t="str">
        <f t="shared" ref="B1780:B1843" si="1102">B1779</f>
        <v>SPS2</v>
      </c>
      <c r="C1780" s="5" t="str">
        <f t="shared" ref="B1780:C1780" si="1103">C1779</f>
        <v>CH</v>
      </c>
      <c r="D1780" t="s">
        <v>1816</v>
      </c>
      <c r="E1780" t="str">
        <f t="shared" si="1096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3.4140933593956302E-5</v>
      </c>
      <c r="J1780" s="1">
        <f>'[1]Electricity and CHPs_CAP'!F$58</f>
        <v>1.1972977504291162E-4</v>
      </c>
      <c r="K1780" s="1">
        <f>'[1]Electricity and CHPs_CAP'!G$58</f>
        <v>5.9985083227983014E-5</v>
      </c>
    </row>
    <row r="1781" spans="2:11" x14ac:dyDescent="0.25">
      <c r="B1781" s="5" t="str">
        <f t="shared" si="1102"/>
        <v>SPS2</v>
      </c>
      <c r="C1781" s="5" t="str">
        <f>C1780</f>
        <v>CH</v>
      </c>
      <c r="D1781" t="s">
        <v>1817</v>
      </c>
      <c r="E1781" t="str">
        <f t="shared" si="1096"/>
        <v>GWe/yr.</v>
      </c>
      <c r="F1781" s="1">
        <f>SUM(F1782:F1787)</f>
        <v>0.41019421538159218</v>
      </c>
      <c r="G1781" s="1">
        <f t="shared" ref="G1781:K1781" si="1104">SUM(G1782:G1787)</f>
        <v>0.37007890567536073</v>
      </c>
      <c r="H1781" s="1">
        <f t="shared" si="1104"/>
        <v>0.37007872381690826</v>
      </c>
      <c r="I1781" s="1">
        <f t="shared" si="1104"/>
        <v>0.38081300736040319</v>
      </c>
      <c r="J1781" s="1">
        <f t="shared" si="1104"/>
        <v>0.44974950683914189</v>
      </c>
      <c r="K1781" s="1">
        <f t="shared" si="1104"/>
        <v>0.6036614416797832</v>
      </c>
    </row>
    <row r="1782" spans="2:11" x14ac:dyDescent="0.25">
      <c r="B1782" s="5" t="str">
        <f t="shared" si="1102"/>
        <v>SPS2</v>
      </c>
      <c r="C1782" s="5" t="str">
        <f t="shared" ref="B1782:C1787" si="1105">C1781</f>
        <v>CH</v>
      </c>
      <c r="D1782" t="s">
        <v>1818</v>
      </c>
      <c r="E1782" t="str">
        <f t="shared" si="1096"/>
        <v>GWe/yr.</v>
      </c>
      <c r="F1782" s="1">
        <f>'[1]Electricity and CHPs_CAP'!B$19</f>
        <v>0.28264587392292551</v>
      </c>
      <c r="G1782" s="1">
        <f>'[1]Electricity and CHPs_CAP'!C$19</f>
        <v>0.28264220590157774</v>
      </c>
      <c r="H1782" s="1">
        <f>'[1]Electricity and CHPs_CAP'!D$19</f>
        <v>0.28264269916925777</v>
      </c>
      <c r="I1782" s="1">
        <f>'[1]Electricity and CHPs_CAP'!E$19</f>
        <v>0.29177925434341417</v>
      </c>
      <c r="J1782" s="1">
        <f>'[1]Electricity and CHPs_CAP'!F$19</f>
        <v>0.27827898235717258</v>
      </c>
      <c r="K1782" s="1">
        <f>'[1]Electricity and CHPs_CAP'!G$19</f>
        <v>0.20404373126612765</v>
      </c>
    </row>
    <row r="1783" spans="2:11" x14ac:dyDescent="0.25">
      <c r="B1783" s="5" t="str">
        <f t="shared" si="1102"/>
        <v>SPS2</v>
      </c>
      <c r="C1783" s="5" t="str">
        <f t="shared" si="1105"/>
        <v>CH</v>
      </c>
      <c r="D1783" t="s">
        <v>1819</v>
      </c>
      <c r="E1783" t="str">
        <f t="shared" si="1096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5.2796934263374201E-2</v>
      </c>
      <c r="K1783" s="1">
        <f>'[1]Electricity and CHPs_CAP'!G$20</f>
        <v>0.21741491824857398</v>
      </c>
    </row>
    <row r="1784" spans="2:11" x14ac:dyDescent="0.25">
      <c r="B1784" s="5" t="str">
        <f t="shared" si="1102"/>
        <v>SPS2</v>
      </c>
      <c r="C1784" s="5" t="str">
        <f t="shared" si="1105"/>
        <v>CH</v>
      </c>
      <c r="D1784" t="s">
        <v>1820</v>
      </c>
      <c r="E1784" t="str">
        <f t="shared" si="1096"/>
        <v>GWe/yr.</v>
      </c>
      <c r="F1784" s="1">
        <f>'[1]Electricity and CHPs_CAP'!B$26</f>
        <v>7.8399999999999997E-2</v>
      </c>
      <c r="G1784" s="1">
        <f>'[1]Electricity and CHPs_CAP'!C$26</f>
        <v>7.3661021344113356E-2</v>
      </c>
      <c r="H1784" s="1">
        <f>'[1]Electricity and CHPs_CAP'!D$26</f>
        <v>7.3660956310338338E-2</v>
      </c>
      <c r="I1784" s="1">
        <f>'[1]Electricity and CHPs_CAP'!E$26</f>
        <v>7.4521782814045909E-2</v>
      </c>
      <c r="J1784" s="1">
        <f>'[1]Electricity and CHPs_CAP'!F$26</f>
        <v>6.2988408257070819E-2</v>
      </c>
      <c r="K1784" s="1">
        <f>'[1]Electricity and CHPs_CAP'!G$26</f>
        <v>5.6051452579669273E-2</v>
      </c>
    </row>
    <row r="1785" spans="2:11" x14ac:dyDescent="0.25">
      <c r="B1785" s="5" t="str">
        <f t="shared" si="1102"/>
        <v>SPS2</v>
      </c>
      <c r="C1785" s="5" t="str">
        <f t="shared" si="1105"/>
        <v>CH</v>
      </c>
      <c r="D1785" t="s">
        <v>1821</v>
      </c>
      <c r="E1785" t="str">
        <f t="shared" si="1096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2.5566122513501599E-2</v>
      </c>
      <c r="K1785" s="1">
        <f>'[1]Electricity and CHPs_CAP'!G$27</f>
        <v>4.9410683795252437E-2</v>
      </c>
    </row>
    <row r="1786" spans="2:11" x14ac:dyDescent="0.25">
      <c r="B1786" s="5" t="str">
        <f t="shared" si="1102"/>
        <v>SPS2</v>
      </c>
      <c r="C1786" s="5" t="str">
        <f t="shared" si="1105"/>
        <v>CH</v>
      </c>
      <c r="D1786" t="s">
        <v>1822</v>
      </c>
      <c r="E1786" t="str">
        <f t="shared" si="1096"/>
        <v>GWe/yr.</v>
      </c>
      <c r="F1786" s="1">
        <f>'[1]Electricity and CHPs_CAP'!B$44</f>
        <v>4.9148341458666631E-2</v>
      </c>
      <c r="G1786" s="1">
        <f>'[1]Electricity and CHPs_CAP'!C$44</f>
        <v>1.3775678429669667E-2</v>
      </c>
      <c r="H1786" s="1">
        <f>'[1]Electricity and CHPs_CAP'!D$44</f>
        <v>1.3775068337312193E-2</v>
      </c>
      <c r="I1786" s="1">
        <f>'[1]Electricity and CHPs_CAP'!E$44</f>
        <v>1.4511970202943078E-2</v>
      </c>
      <c r="J1786" s="1">
        <f>'[1]Electricity and CHPs_CAP'!F$44</f>
        <v>1.1832502160360196E-2</v>
      </c>
      <c r="K1786" s="1">
        <f>'[1]Electricity and CHPs_CAP'!G$44</f>
        <v>1.0932457449894066E-4</v>
      </c>
    </row>
    <row r="1787" spans="2:11" x14ac:dyDescent="0.25">
      <c r="B1787" s="5" t="str">
        <f t="shared" si="1102"/>
        <v>SPS2</v>
      </c>
      <c r="C1787" s="5" t="str">
        <f t="shared" si="1105"/>
        <v>CH</v>
      </c>
      <c r="D1787" t="s">
        <v>1823</v>
      </c>
      <c r="E1787" t="str">
        <f t="shared" si="1096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1.82865572876625E-2</v>
      </c>
      <c r="K1787" s="1">
        <f>'[1]Electricity and CHPs_CAP'!G$45</f>
        <v>7.6631331215660958E-2</v>
      </c>
    </row>
    <row r="1788" spans="2:11" x14ac:dyDescent="0.25">
      <c r="B1788" s="5" t="str">
        <f t="shared" si="1102"/>
        <v>SPS2</v>
      </c>
      <c r="C1788" s="5" t="str">
        <f>C1787</f>
        <v>CH</v>
      </c>
      <c r="D1788" t="s">
        <v>1824</v>
      </c>
      <c r="E1788" t="str">
        <f t="shared" si="1096"/>
        <v>GWe/yr.</v>
      </c>
      <c r="F1788" s="1">
        <f>SUM(F1789:F1795)</f>
        <v>6.4957808654463912E-3</v>
      </c>
      <c r="G1788" s="1">
        <f t="shared" ref="G1788:K1788" si="1106">SUM(G1789:G1795)</f>
        <v>1.4741996393469179E-2</v>
      </c>
      <c r="H1788" s="1">
        <f t="shared" si="1106"/>
        <v>4.2000354196953207E-2</v>
      </c>
      <c r="I1788" s="1">
        <f t="shared" si="1106"/>
        <v>5.348694528034962E-2</v>
      </c>
      <c r="J1788" s="1">
        <f t="shared" si="1106"/>
        <v>9.6524313736700007E-2</v>
      </c>
      <c r="K1788" s="1">
        <f t="shared" si="1106"/>
        <v>0.27417395342504941</v>
      </c>
    </row>
    <row r="1789" spans="2:11" x14ac:dyDescent="0.25">
      <c r="B1789" s="5" t="str">
        <f t="shared" si="1102"/>
        <v>SPS2</v>
      </c>
      <c r="C1789" s="5" t="str">
        <f t="shared" ref="B1789:C1799" si="1107">C1788</f>
        <v>CH</v>
      </c>
      <c r="D1789" t="s">
        <v>1825</v>
      </c>
      <c r="E1789" t="str">
        <f t="shared" si="1096"/>
        <v>GWe/yr.</v>
      </c>
      <c r="F1789" s="1">
        <f>'[1]Electricity and CHPs_CAP'!B$25</f>
        <v>6.2685382161004055E-6</v>
      </c>
      <c r="G1789" s="1">
        <f>'[1]Electricity and CHPs_CAP'!C$25</f>
        <v>5.4693620675866361E-5</v>
      </c>
      <c r="H1789" s="1">
        <f>'[1]Electricity and CHPs_CAP'!D$25</f>
        <v>1.0474814126336385E-4</v>
      </c>
      <c r="I1789" s="1">
        <f>'[1]Electricity and CHPs_CAP'!E$25</f>
        <v>1.5754203096077224E-4</v>
      </c>
      <c r="J1789" s="1">
        <f>'[1]Electricity and CHPs_CAP'!F$25</f>
        <v>1.274216372190139E-2</v>
      </c>
      <c r="K1789" s="1">
        <f>'[1]Electricity and CHPs_CAP'!G$25</f>
        <v>3.9050694833100801E-2</v>
      </c>
    </row>
    <row r="1790" spans="2:11" x14ac:dyDescent="0.25">
      <c r="B1790" s="5" t="str">
        <f t="shared" si="1102"/>
        <v>SPS2</v>
      </c>
      <c r="C1790" s="5" t="str">
        <f t="shared" si="1107"/>
        <v>CH</v>
      </c>
      <c r="D1790" t="s">
        <v>1826</v>
      </c>
      <c r="E1790" t="str">
        <f t="shared" si="1096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9.2204084532688101E-5</v>
      </c>
      <c r="K1790" s="1">
        <f>'[1]Electricity and CHPs_CAP'!G$31</f>
        <v>1.7389933895091834E-2</v>
      </c>
    </row>
    <row r="1791" spans="2:11" x14ac:dyDescent="0.25">
      <c r="B1791" s="5" t="str">
        <f t="shared" si="1102"/>
        <v>SPS2</v>
      </c>
      <c r="C1791" s="5" t="str">
        <f t="shared" si="1107"/>
        <v>CH</v>
      </c>
      <c r="D1791" t="s">
        <v>1827</v>
      </c>
      <c r="E1791" t="str">
        <f t="shared" si="1096"/>
        <v>GWe/yr.</v>
      </c>
      <c r="F1791" s="1">
        <f>'[1]Electricity and CHPs_CAP'!B$42</f>
        <v>6.4895123272302908E-3</v>
      </c>
      <c r="G1791" s="1">
        <f>'[1]Electricity and CHPs_CAP'!C$42</f>
        <v>1.4687302772793313E-2</v>
      </c>
      <c r="H1791" s="1">
        <f>'[1]Electricity and CHPs_CAP'!D$42</f>
        <v>4.1895606055689844E-2</v>
      </c>
      <c r="I1791" s="1">
        <f>'[1]Electricity and CHPs_CAP'!E$42</f>
        <v>5.2986796225327579E-2</v>
      </c>
      <c r="J1791" s="1">
        <f>'[1]Electricity and CHPs_CAP'!F$42</f>
        <v>4.1803165805646629E-2</v>
      </c>
      <c r="K1791" s="1">
        <f>'[1]Electricity and CHPs_CAP'!G$42</f>
        <v>4.7557601526001039E-5</v>
      </c>
    </row>
    <row r="1792" spans="2:11" x14ac:dyDescent="0.25">
      <c r="B1792" s="5" t="str">
        <f t="shared" si="1102"/>
        <v>SPS2</v>
      </c>
      <c r="C1792" s="5" t="str">
        <f t="shared" si="1107"/>
        <v>CH</v>
      </c>
      <c r="D1792" t="s">
        <v>1828</v>
      </c>
      <c r="E1792" t="str">
        <f t="shared" si="1096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4.1252932910809899E-2</v>
      </c>
      <c r="K1792" s="1">
        <f>'[1]Electricity and CHPs_CAP'!G$43</f>
        <v>0.21743984574916</v>
      </c>
    </row>
    <row r="1793" spans="2:11" x14ac:dyDescent="0.25">
      <c r="B1793" s="5" t="str">
        <f t="shared" si="1102"/>
        <v>SPS2</v>
      </c>
      <c r="C1793" s="5" t="str">
        <f t="shared" si="1107"/>
        <v>CH</v>
      </c>
      <c r="D1793" t="s">
        <v>1829</v>
      </c>
      <c r="E1793" t="str">
        <f t="shared" si="1096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9.7575702264373308E-5</v>
      </c>
      <c r="J1793" s="1">
        <f>'[1]Electricity and CHPs_CAP'!F$50</f>
        <v>1.7264697146081526E-4</v>
      </c>
      <c r="K1793" s="1">
        <f>'[1]Electricity and CHPs_CAP'!G$50</f>
        <v>6.9101825300452302E-5</v>
      </c>
    </row>
    <row r="1794" spans="2:11" x14ac:dyDescent="0.25">
      <c r="B1794" s="5" t="str">
        <f t="shared" si="1102"/>
        <v>SPS2</v>
      </c>
      <c r="C1794" s="5" t="str">
        <f t="shared" si="1107"/>
        <v>CH</v>
      </c>
      <c r="D1794" t="s">
        <v>1830</v>
      </c>
      <c r="E1794" t="str">
        <f t="shared" si="1096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1.59109861500206E-4</v>
      </c>
      <c r="J1794" s="1">
        <f>'[1]Electricity and CHPs_CAP'!F$53</f>
        <v>3.4732379145030359E-4</v>
      </c>
      <c r="K1794" s="1">
        <f>'[1]Electricity and CHPs_CAP'!G$53</f>
        <v>1.3223857606259239E-4</v>
      </c>
    </row>
    <row r="1795" spans="2:11" x14ac:dyDescent="0.25">
      <c r="B1795" s="5" t="str">
        <f t="shared" si="1102"/>
        <v>SPS2</v>
      </c>
      <c r="C1795" s="5" t="str">
        <f t="shared" si="1107"/>
        <v>CH</v>
      </c>
      <c r="D1795" t="s">
        <v>1831</v>
      </c>
      <c r="E1795" t="str">
        <f t="shared" si="1096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8.5921460296682503E-5</v>
      </c>
      <c r="J1795" s="1">
        <f>'[1]Electricity and CHPs_CAP'!F$56</f>
        <v>1.1387645089829576E-4</v>
      </c>
      <c r="K1795" s="1">
        <f>'[1]Electricity and CHPs_CAP'!G$56</f>
        <v>4.4580944807765427E-5</v>
      </c>
    </row>
    <row r="1796" spans="2:11" x14ac:dyDescent="0.25">
      <c r="B1796" s="5" t="str">
        <f t="shared" si="1102"/>
        <v>SPS2</v>
      </c>
      <c r="C1796" s="5" t="str">
        <f t="shared" si="1107"/>
        <v>CH</v>
      </c>
      <c r="D1796" t="s">
        <v>1832</v>
      </c>
      <c r="E1796" t="str">
        <f t="shared" si="1096"/>
        <v>GWe/yr.</v>
      </c>
      <c r="F1796" s="1">
        <f>F1797</f>
        <v>8.7120000000000003E-2</v>
      </c>
      <c r="G1796" s="1">
        <f t="shared" ref="G1796:K1796" si="1108">G1797</f>
        <v>9.0660054662310335E-2</v>
      </c>
      <c r="H1796" s="1">
        <f t="shared" si="1108"/>
        <v>8.3812599266652688E-2</v>
      </c>
      <c r="I1796" s="1">
        <f t="shared" si="1108"/>
        <v>0.41959902891599632</v>
      </c>
      <c r="J1796" s="1">
        <f t="shared" si="1108"/>
        <v>0.87732032817528871</v>
      </c>
      <c r="K1796" s="1">
        <f t="shared" si="1108"/>
        <v>1.7946333573857201</v>
      </c>
    </row>
    <row r="1797" spans="2:11" x14ac:dyDescent="0.25">
      <c r="B1797" s="5" t="str">
        <f t="shared" si="1102"/>
        <v>SPS2</v>
      </c>
      <c r="C1797" s="5" t="str">
        <f t="shared" si="1107"/>
        <v>CH</v>
      </c>
      <c r="D1797" t="s">
        <v>1833</v>
      </c>
      <c r="E1797" t="str">
        <f t="shared" si="1096"/>
        <v>GWe/yr.</v>
      </c>
      <c r="F1797" s="1">
        <f>'[1]Electricity and CHPs_CAP'!B$33</f>
        <v>8.7120000000000003E-2</v>
      </c>
      <c r="G1797" s="1">
        <f>'[1]Electricity and CHPs_CAP'!C$33</f>
        <v>9.0660054662310335E-2</v>
      </c>
      <c r="H1797" s="1">
        <f>'[1]Electricity and CHPs_CAP'!D$33</f>
        <v>8.3812599266652688E-2</v>
      </c>
      <c r="I1797" s="1">
        <f>'[1]Electricity and CHPs_CAP'!E$33</f>
        <v>0.41959902891599632</v>
      </c>
      <c r="J1797" s="1">
        <f>'[1]Electricity and CHPs_CAP'!F$33</f>
        <v>0.87732032817528871</v>
      </c>
      <c r="K1797" s="1">
        <f>'[1]Electricity and CHPs_CAP'!G$33</f>
        <v>1.7946333573857201</v>
      </c>
    </row>
    <row r="1798" spans="2:11" x14ac:dyDescent="0.25">
      <c r="B1798" s="5" t="str">
        <f t="shared" si="1102"/>
        <v>SPS2</v>
      </c>
      <c r="C1798" s="5" t="str">
        <f t="shared" si="1107"/>
        <v>CH</v>
      </c>
      <c r="D1798" t="s">
        <v>1834</v>
      </c>
      <c r="E1798" t="str">
        <f t="shared" si="1096"/>
        <v>GWe/yr.</v>
      </c>
      <c r="F1798" s="1">
        <f>SUM(F1799:F1803)</f>
        <v>2.9746549999999998</v>
      </c>
      <c r="G1798" s="1">
        <f t="shared" ref="G1798:K1798" si="1109">SUM(G1799:G1803)</f>
        <v>4.3708980519708565</v>
      </c>
      <c r="H1798" s="1">
        <f t="shared" si="1109"/>
        <v>9.1888924007366199</v>
      </c>
      <c r="I1798" s="1">
        <f t="shared" si="1109"/>
        <v>20.045537848077736</v>
      </c>
      <c r="J1798" s="1">
        <f t="shared" si="1109"/>
        <v>33.098996017434992</v>
      </c>
      <c r="K1798" s="1">
        <f t="shared" si="1109"/>
        <v>51.297613536080902</v>
      </c>
    </row>
    <row r="1799" spans="2:11" x14ac:dyDescent="0.25">
      <c r="B1799" s="5" t="str">
        <f t="shared" si="1102"/>
        <v>SPS2</v>
      </c>
      <c r="C1799" s="5" t="str">
        <f t="shared" si="1107"/>
        <v>CH</v>
      </c>
      <c r="D1799" t="s">
        <v>1835</v>
      </c>
      <c r="E1799" t="str">
        <f t="shared" si="1096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4.4924395046386699E-2</v>
      </c>
      <c r="I1799" s="1">
        <f>'[1]Electricity and CHPs_CAP'!E$34</f>
        <v>3.0800358264685213</v>
      </c>
      <c r="J1799" s="1">
        <f>'[1]Electricity and CHPs_CAP'!F$34</f>
        <v>4.4088737240846143</v>
      </c>
      <c r="K1799" s="1">
        <f>'[1]Electricity and CHPs_CAP'!G$34</f>
        <v>13.493273153013162</v>
      </c>
    </row>
    <row r="1800" spans="2:11" x14ac:dyDescent="0.25">
      <c r="B1800" s="5" t="str">
        <f t="shared" si="1102"/>
        <v>SPS2</v>
      </c>
      <c r="C1800" s="5" t="str">
        <f t="shared" ref="B1800:C1815" si="1110">C1799</f>
        <v>CH</v>
      </c>
      <c r="D1800" t="s">
        <v>1836</v>
      </c>
      <c r="E1800" t="str">
        <f t="shared" si="1096"/>
        <v>GWe/yr.</v>
      </c>
      <c r="F1800" s="1">
        <f>'[1]Electricity and CHPs_CAP'!B$35</f>
        <v>1.1186210000000001</v>
      </c>
      <c r="G1800" s="1">
        <f>'[1]Electricity and CHPs_CAP'!C$35</f>
        <v>1.6529270591042606</v>
      </c>
      <c r="H1800" s="1">
        <f>'[1]Electricity and CHPs_CAP'!D$35</f>
        <v>3.0611844822262402</v>
      </c>
      <c r="I1800" s="1">
        <f>'[1]Electricity and CHPs_CAP'!E$35</f>
        <v>5.1146857111821502</v>
      </c>
      <c r="J1800" s="1">
        <f>'[1]Electricity and CHPs_CAP'!F$35</f>
        <v>11.275179516674337</v>
      </c>
      <c r="K1800" s="1">
        <f>'[1]Electricity and CHPs_CAP'!G$35</f>
        <v>18.051680957067099</v>
      </c>
    </row>
    <row r="1801" spans="2:11" x14ac:dyDescent="0.25">
      <c r="B1801" s="5" t="str">
        <f t="shared" si="1102"/>
        <v>SPS2</v>
      </c>
      <c r="C1801" s="5" t="str">
        <f t="shared" si="1110"/>
        <v>CH</v>
      </c>
      <c r="D1801" t="s">
        <v>1837</v>
      </c>
      <c r="E1801" t="str">
        <f t="shared" si="1096"/>
        <v>GWe/yr.</v>
      </c>
      <c r="F1801" s="1">
        <f>'[1]Electricity and CHPs_CAP'!B$36</f>
        <v>0.67885700000000004</v>
      </c>
      <c r="G1801" s="1">
        <f>'[1]Electricity and CHPs_CAP'!C$36</f>
        <v>1.1559114705548437</v>
      </c>
      <c r="H1801" s="1">
        <f>'[1]Electricity and CHPs_CAP'!D$36</f>
        <v>2.5678614778872473</v>
      </c>
      <c r="I1801" s="1">
        <f>'[1]Electricity and CHPs_CAP'!E$36</f>
        <v>4.0611124064190163</v>
      </c>
      <c r="J1801" s="1">
        <f>'[1]Electricity and CHPs_CAP'!F$36</f>
        <v>4.005604467038701</v>
      </c>
      <c r="K1801" s="1">
        <f>'[1]Electricity and CHPs_CAP'!G$36</f>
        <v>1.0253189438045744</v>
      </c>
    </row>
    <row r="1802" spans="2:11" x14ac:dyDescent="0.25">
      <c r="B1802" s="5" t="str">
        <f t="shared" si="1102"/>
        <v>SPS2</v>
      </c>
      <c r="C1802" s="5" t="str">
        <f t="shared" si="1110"/>
        <v>CH</v>
      </c>
      <c r="D1802" t="s">
        <v>1838</v>
      </c>
      <c r="E1802" t="str">
        <f t="shared" si="1096"/>
        <v>GWe/yr.</v>
      </c>
      <c r="F1802" s="1">
        <f>'[1]Electricity and CHPs_CAP'!B$37</f>
        <v>0.27424799999999999</v>
      </c>
      <c r="G1802" s="1">
        <f>'[1]Electricity and CHPs_CAP'!C$37</f>
        <v>0.43895822001113066</v>
      </c>
      <c r="H1802" s="1">
        <f>'[1]Electricity and CHPs_CAP'!D$37</f>
        <v>1.3349791144585961</v>
      </c>
      <c r="I1802" s="1">
        <f>'[1]Electricity and CHPs_CAP'!E$37</f>
        <v>2.628980419395857</v>
      </c>
      <c r="J1802" s="1">
        <f>'[1]Electricity and CHPs_CAP'!F$37</f>
        <v>4.565599167848382</v>
      </c>
      <c r="K1802" s="1">
        <f>'[1]Electricity and CHPs_CAP'!G$37</f>
        <v>7.98531342563337</v>
      </c>
    </row>
    <row r="1803" spans="2:11" x14ac:dyDescent="0.25">
      <c r="B1803" s="5" t="str">
        <f t="shared" si="1102"/>
        <v>SPS2</v>
      </c>
      <c r="C1803" s="5" t="str">
        <f t="shared" si="1110"/>
        <v>CH</v>
      </c>
      <c r="D1803" t="s">
        <v>1839</v>
      </c>
      <c r="E1803" t="str">
        <f t="shared" si="1096"/>
        <v>GWe/yr.</v>
      </c>
      <c r="F1803" s="1">
        <f>'[1]Electricity and CHPs_CAP'!B$38</f>
        <v>0.90292899999999998</v>
      </c>
      <c r="G1803" s="1">
        <f>'[1]Electricity and CHPs_CAP'!C$38</f>
        <v>1.1231013023006211</v>
      </c>
      <c r="H1803" s="1">
        <f>'[1]Electricity and CHPs_CAP'!D$38</f>
        <v>2.1799429311181502</v>
      </c>
      <c r="I1803" s="1">
        <f>'[1]Electricity and CHPs_CAP'!E$38</f>
        <v>5.1607234846121894</v>
      </c>
      <c r="J1803" s="1">
        <f>'[1]Electricity and CHPs_CAP'!F$38</f>
        <v>8.8437391417889586</v>
      </c>
      <c r="K1803" s="1">
        <f>'[1]Electricity and CHPs_CAP'!G$38</f>
        <v>10.7420270565627</v>
      </c>
    </row>
    <row r="1804" spans="2:11" x14ac:dyDescent="0.25">
      <c r="B1804" s="5" t="str">
        <f t="shared" si="1102"/>
        <v>SPS2</v>
      </c>
      <c r="C1804" s="5" t="str">
        <f>C1807</f>
        <v>CH</v>
      </c>
      <c r="D1804" t="s">
        <v>1840</v>
      </c>
      <c r="E1804" t="str">
        <f t="shared" si="1096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6.0738974292339604E-4</v>
      </c>
      <c r="K1804" s="1">
        <f>'[1]Electricity and CHPs_CAP'!G$32</f>
        <v>6.1347193174805705E-4</v>
      </c>
    </row>
    <row r="1805" spans="2:11" x14ac:dyDescent="0.25">
      <c r="B1805" s="5" t="str">
        <f t="shared" si="1102"/>
        <v>SPS2</v>
      </c>
      <c r="C1805" s="5" t="str">
        <f t="shared" ref="B1805:C1805" si="1111">C1804</f>
        <v>CH</v>
      </c>
      <c r="D1805" t="s">
        <v>1841</v>
      </c>
      <c r="E1805" t="str">
        <f t="shared" si="1096"/>
        <v>GWe/yr.</v>
      </c>
      <c r="F1805" s="1">
        <f>F1804</f>
        <v>0</v>
      </c>
      <c r="G1805" s="1">
        <f t="shared" ref="G1805:K1805" si="1112">G1804</f>
        <v>0</v>
      </c>
      <c r="H1805" s="1">
        <f t="shared" si="1112"/>
        <v>0</v>
      </c>
      <c r="I1805" s="1">
        <f t="shared" si="1112"/>
        <v>0</v>
      </c>
      <c r="J1805" s="1">
        <f t="shared" si="1112"/>
        <v>6.0738974292339604E-4</v>
      </c>
      <c r="K1805" s="1">
        <f t="shared" si="1112"/>
        <v>6.1347193174805705E-4</v>
      </c>
    </row>
    <row r="1806" spans="2:11" x14ac:dyDescent="0.25">
      <c r="B1806" s="5" t="str">
        <f t="shared" si="1102"/>
        <v>SPS2</v>
      </c>
      <c r="C1806" s="5" t="str">
        <f>C1803</f>
        <v>CH</v>
      </c>
      <c r="D1806" t="s">
        <v>1842</v>
      </c>
      <c r="E1806" t="str">
        <f t="shared" si="1096"/>
        <v>GWe/yr.</v>
      </c>
      <c r="F1806" s="1">
        <f t="shared" ref="F1806:K1806" si="1113">SUM(F1807:F1809)</f>
        <v>0</v>
      </c>
      <c r="G1806" s="1">
        <f t="shared" si="1113"/>
        <v>0</v>
      </c>
      <c r="H1806" s="1">
        <f t="shared" si="1113"/>
        <v>0</v>
      </c>
      <c r="I1806" s="1">
        <f t="shared" si="1113"/>
        <v>0.11768739342048198</v>
      </c>
      <c r="J1806" s="1">
        <f t="shared" si="1113"/>
        <v>8.0930109144042001E-2</v>
      </c>
      <c r="K1806" s="1">
        <f t="shared" si="1113"/>
        <v>3.5499952998441046E-2</v>
      </c>
    </row>
    <row r="1807" spans="2:11" x14ac:dyDescent="0.25">
      <c r="B1807" s="5" t="str">
        <f t="shared" si="1102"/>
        <v>SPS2</v>
      </c>
      <c r="C1807" s="5" t="str">
        <f t="shared" si="1110"/>
        <v>CH</v>
      </c>
      <c r="D1807" t="s">
        <v>1843</v>
      </c>
      <c r="E1807" t="str">
        <f t="shared" si="1096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5.0381185530433198E-4</v>
      </c>
      <c r="K1807" s="1">
        <f>'[1]Electricity and CHPs_CAP'!G$30</f>
        <v>5.0539014722747379E-4</v>
      </c>
    </row>
    <row r="1808" spans="2:11" x14ac:dyDescent="0.25">
      <c r="B1808" s="5" t="str">
        <f t="shared" si="1102"/>
        <v>SPS2</v>
      </c>
      <c r="C1808" s="5" t="str">
        <f>C1804</f>
        <v>CH</v>
      </c>
      <c r="D1808" t="s">
        <v>1844</v>
      </c>
      <c r="E1808" t="str">
        <f t="shared" si="1096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0.117613569355894</v>
      </c>
      <c r="J1808" s="1">
        <f>'[1]Electricity and CHPs_CAP'!F$46</f>
        <v>8.0324549682141297E-2</v>
      </c>
      <c r="K1808" s="1">
        <f>'[1]Electricity and CHPs_CAP'!G$46</f>
        <v>3.4908204100255379E-2</v>
      </c>
    </row>
    <row r="1809" spans="2:11" x14ac:dyDescent="0.25">
      <c r="B1809" s="5" t="str">
        <f t="shared" si="1102"/>
        <v>SPS2</v>
      </c>
      <c r="C1809" s="5" t="str">
        <f t="shared" si="1110"/>
        <v>CH</v>
      </c>
      <c r="D1809" t="s">
        <v>1845</v>
      </c>
      <c r="E1809" t="str">
        <f t="shared" si="1096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7.3824064587983999E-5</v>
      </c>
      <c r="J1809" s="1">
        <f>'[1]Electricity and CHPs_CAP'!F$57</f>
        <v>1.017476065963696E-4</v>
      </c>
      <c r="K1809" s="1">
        <f>'[1]Electricity and CHPs_CAP'!G$57</f>
        <v>8.635875095819396E-5</v>
      </c>
    </row>
    <row r="1810" spans="2:11" x14ac:dyDescent="0.25">
      <c r="B1810" s="5" t="str">
        <f t="shared" si="1102"/>
        <v>SPS2</v>
      </c>
      <c r="C1810" s="5" t="str">
        <f t="shared" si="1110"/>
        <v>CH</v>
      </c>
      <c r="D1810" t="s">
        <v>1846</v>
      </c>
      <c r="E1810" t="str">
        <f t="shared" si="1096"/>
        <v>GWe/yr.</v>
      </c>
      <c r="F1810" s="1">
        <f>SUM(F1811:F1817)</f>
        <v>0.10428018923714347</v>
      </c>
      <c r="G1810" s="1">
        <f t="shared" ref="G1810:K1810" si="1114">SUM(G1811:G1817)</f>
        <v>0.10428716212620594</v>
      </c>
      <c r="H1810" s="1">
        <f t="shared" si="1114"/>
        <v>0.10440053756877013</v>
      </c>
      <c r="I1810" s="1">
        <f t="shared" si="1114"/>
        <v>0.28404642545063613</v>
      </c>
      <c r="J1810" s="1">
        <f t="shared" si="1114"/>
        <v>1.5041754233435549</v>
      </c>
      <c r="K1810" s="1">
        <f t="shared" si="1114"/>
        <v>3.5361697889345658</v>
      </c>
    </row>
    <row r="1811" spans="2:11" x14ac:dyDescent="0.25">
      <c r="B1811" s="5" t="str">
        <f t="shared" si="1102"/>
        <v>SPS2</v>
      </c>
      <c r="C1811" s="5" t="str">
        <f t="shared" si="1110"/>
        <v>CH</v>
      </c>
      <c r="D1811" t="s">
        <v>1847</v>
      </c>
      <c r="E1811" t="str">
        <f t="shared" si="1096"/>
        <v>GWe/yr.</v>
      </c>
      <c r="F1811" s="1">
        <f>'[1]Electricity and CHPs_CAP'!B$63</f>
        <v>0.1</v>
      </c>
      <c r="G1811" s="1">
        <f>'[1]Electricity and CHPs_CAP'!C$63</f>
        <v>9.9997772652292399E-2</v>
      </c>
      <c r="H1811" s="1">
        <f>'[1]Electricity and CHPs_CAP'!D$63</f>
        <v>9.9997766288969489E-2</v>
      </c>
      <c r="I1811" s="1">
        <f>'[1]Electricity and CHPs_CAP'!E$63</f>
        <v>9.999780214760487E-2</v>
      </c>
      <c r="J1811" s="1">
        <f>'[1]Electricity and CHPs_CAP'!F$63</f>
        <v>9.9999398356292152E-2</v>
      </c>
      <c r="K1811" s="1">
        <f>'[1]Electricity and CHPs_CAP'!G$63</f>
        <v>9.9999433257765516E-2</v>
      </c>
    </row>
    <row r="1812" spans="2:11" x14ac:dyDescent="0.25">
      <c r="B1812" s="5" t="str">
        <f t="shared" si="1102"/>
        <v>SPS2</v>
      </c>
      <c r="C1812" s="5" t="str">
        <f t="shared" si="1110"/>
        <v>CH</v>
      </c>
      <c r="D1812" t="s">
        <v>1848</v>
      </c>
      <c r="E1812" t="str">
        <f t="shared" si="1096"/>
        <v>GWe/yr.</v>
      </c>
      <c r="F1812" s="1">
        <f>'[1]Electricity and CHPs_CAP'!B$64</f>
        <v>6.4756277090413097E-4</v>
      </c>
      <c r="G1812" s="1">
        <f>'[1]Electricity and CHPs_CAP'!C$64</f>
        <v>6.4920619780450578E-4</v>
      </c>
      <c r="H1812" s="1">
        <f>'[1]Electricity and CHPs_CAP'!D$64</f>
        <v>6.9639261905105629E-4</v>
      </c>
      <c r="I1812" s="1">
        <f>'[1]Electricity and CHPs_CAP'!E$64</f>
        <v>7.9595799047450159E-4</v>
      </c>
      <c r="J1812" s="1">
        <f>'[1]Electricity and CHPs_CAP'!F$64</f>
        <v>1.0738027541642341</v>
      </c>
      <c r="K1812" s="1">
        <f>'[1]Electricity and CHPs_CAP'!G$64</f>
        <v>1.1299277820019316</v>
      </c>
    </row>
    <row r="1813" spans="2:11" x14ac:dyDescent="0.25">
      <c r="B1813" s="5" t="str">
        <f t="shared" si="1102"/>
        <v>SPS2</v>
      </c>
      <c r="C1813" s="5" t="str">
        <f t="shared" si="1110"/>
        <v>CH</v>
      </c>
      <c r="D1813" t="s">
        <v>1849</v>
      </c>
      <c r="E1813" t="str">
        <f t="shared" si="1096"/>
        <v>GWe/yr.</v>
      </c>
      <c r="F1813" s="1">
        <f>'[1]Electricity and CHPs_CAP'!B$65</f>
        <v>4.87281855759361E-4</v>
      </c>
      <c r="G1813" s="1">
        <f>'[1]Electricity and CHPs_CAP'!C$65</f>
        <v>4.8846802090115845E-4</v>
      </c>
      <c r="H1813" s="1">
        <f>'[1]Electricity and CHPs_CAP'!D$65</f>
        <v>5.1637757814913246E-4</v>
      </c>
      <c r="I1813" s="1">
        <f>'[1]Electricity and CHPs_CAP'!E$65</f>
        <v>5.9358450545964991E-4</v>
      </c>
      <c r="J1813" s="1">
        <f>'[1]Electricity and CHPs_CAP'!F$65</f>
        <v>6.1613741665935461E-3</v>
      </c>
      <c r="K1813" s="1">
        <f>'[1]Electricity and CHPs_CAP'!G$65</f>
        <v>1.8589374805410279</v>
      </c>
    </row>
    <row r="1814" spans="2:11" x14ac:dyDescent="0.25">
      <c r="B1814" s="5" t="str">
        <f t="shared" si="1102"/>
        <v>SPS2</v>
      </c>
      <c r="C1814" s="5" t="str">
        <f t="shared" si="1110"/>
        <v>CH</v>
      </c>
      <c r="D1814" t="s">
        <v>1850</v>
      </c>
      <c r="E1814" t="str">
        <f t="shared" si="1096"/>
        <v>GWe/yr.</v>
      </c>
      <c r="F1814" s="1">
        <f>'[1]Electricity and CHPs_CAP'!B$66</f>
        <v>4.7492385453984522E-4</v>
      </c>
      <c r="G1814" s="1">
        <f>'[1]Electricity and CHPs_CAP'!C$66</f>
        <v>4.758890966111903E-4</v>
      </c>
      <c r="H1814" s="1">
        <f>'[1]Electricity and CHPs_CAP'!D$66</f>
        <v>4.8293360692892325E-4</v>
      </c>
      <c r="I1814" s="1">
        <f>'[1]Electricity and CHPs_CAP'!E$66</f>
        <v>1.6480616045467333E-3</v>
      </c>
      <c r="J1814" s="1">
        <f>'[1]Electricity and CHPs_CAP'!F$66</f>
        <v>2.9278563504784444E-3</v>
      </c>
      <c r="K1814" s="1">
        <f>'[1]Electricity and CHPs_CAP'!G$66</f>
        <v>2.2801009115605707E-3</v>
      </c>
    </row>
    <row r="1815" spans="2:11" x14ac:dyDescent="0.25">
      <c r="B1815" s="5" t="str">
        <f t="shared" si="1102"/>
        <v>SPS2</v>
      </c>
      <c r="C1815" s="5" t="str">
        <f t="shared" si="1110"/>
        <v>CH</v>
      </c>
      <c r="D1815" t="s">
        <v>1856</v>
      </c>
      <c r="E1815" t="str">
        <f t="shared" si="1096"/>
        <v>GWe/yr.</v>
      </c>
      <c r="F1815" s="1">
        <f>'[1]Electricity and CHPs_CAP'!B$67</f>
        <v>1.0966315394360694E-3</v>
      </c>
      <c r="G1815" s="1">
        <f>'[1]Electricity and CHPs_CAP'!C$67</f>
        <v>1.0988494464690469E-3</v>
      </c>
      <c r="H1815" s="1">
        <f>'[1]Electricity and CHPs_CAP'!D$67</f>
        <v>1.1106593505603138E-3</v>
      </c>
      <c r="I1815" s="1">
        <f>'[1]Electricity and CHPs_CAP'!E$67</f>
        <v>8.1048815833129007E-2</v>
      </c>
      <c r="J1815" s="1">
        <f>'[1]Electricity and CHPs_CAP'!F$67</f>
        <v>0.15626305023076698</v>
      </c>
      <c r="K1815" s="1">
        <f>'[1]Electricity and CHPs_CAP'!G$67</f>
        <v>0.21844911575225773</v>
      </c>
    </row>
    <row r="1816" spans="2:11" x14ac:dyDescent="0.25">
      <c r="B1816" s="5" t="str">
        <f t="shared" si="1102"/>
        <v>SPS2</v>
      </c>
      <c r="C1816" s="5" t="str">
        <f t="shared" ref="B1816:C1817" si="1115">C1815</f>
        <v>CH</v>
      </c>
      <c r="D1816" t="s">
        <v>1851</v>
      </c>
      <c r="E1816" t="str">
        <f t="shared" si="1096"/>
        <v>GWe/yr.</v>
      </c>
      <c r="F1816" s="1">
        <f>'[1]Electricity and CHPs_CAP'!B$68</f>
        <v>1.0974406868809465E-3</v>
      </c>
      <c r="G1816" s="1">
        <f>'[1]Electricity and CHPs_CAP'!C$68</f>
        <v>1.0996554297754517E-3</v>
      </c>
      <c r="H1816" s="1">
        <f>'[1]Electricity and CHPs_CAP'!D$68</f>
        <v>1.111685577915765E-3</v>
      </c>
      <c r="I1816" s="1">
        <f>'[1]Electricity and CHPs_CAP'!E$68</f>
        <v>9.8326331661671207E-2</v>
      </c>
      <c r="J1816" s="1">
        <f>'[1]Electricity and CHPs_CAP'!F$68</f>
        <v>0.16247059373211031</v>
      </c>
      <c r="K1816" s="1">
        <f>'[1]Electricity and CHPs_CAP'!G$68</f>
        <v>0.22470104050340028</v>
      </c>
    </row>
    <row r="1817" spans="2:11" x14ac:dyDescent="0.25">
      <c r="B1817" s="5" t="str">
        <f t="shared" si="1102"/>
        <v>SPS2</v>
      </c>
      <c r="C1817" s="5" t="str">
        <f t="shared" si="1115"/>
        <v>CH</v>
      </c>
      <c r="D1817" t="s">
        <v>1852</v>
      </c>
      <c r="E1817" t="str">
        <f t="shared" si="1096"/>
        <v>GWe/yr.</v>
      </c>
      <c r="F1817" s="1">
        <f>'[1]Electricity and CHPs_CAP'!B$69</f>
        <v>4.7634852962311536E-4</v>
      </c>
      <c r="G1817" s="1">
        <f>'[1]Electricity and CHPs_CAP'!C$69</f>
        <v>4.7732128235218217E-4</v>
      </c>
      <c r="H1817" s="1">
        <f>'[1]Electricity and CHPs_CAP'!D$69</f>
        <v>4.8472254719545538E-4</v>
      </c>
      <c r="I1817" s="1">
        <f>'[1]Electricity and CHPs_CAP'!E$69</f>
        <v>1.6358717077501414E-3</v>
      </c>
      <c r="J1817" s="1">
        <f>'[1]Electricity and CHPs_CAP'!F$69</f>
        <v>2.5503963430795113E-3</v>
      </c>
      <c r="K1817" s="1">
        <f>'[1]Electricity and CHPs_CAP'!G$69</f>
        <v>1.8748359666219765E-3</v>
      </c>
    </row>
    <row r="1818" spans="2:11" x14ac:dyDescent="0.25">
      <c r="B1818" s="5" t="str">
        <f t="shared" si="1102"/>
        <v>SPS2</v>
      </c>
      <c r="C1818" s="5" t="str">
        <f t="shared" ref="B1818:C1818" si="1116">C1817</f>
        <v>CH</v>
      </c>
      <c r="D1818" s="2" t="s">
        <v>1861</v>
      </c>
      <c r="E1818" s="2" t="s">
        <v>1859</v>
      </c>
      <c r="F1818" s="3">
        <f>SUM(F1819,F1838)</f>
        <v>11.163982498830578</v>
      </c>
      <c r="G1818" s="3">
        <f t="shared" ref="G1818:K1818" si="1117">SUM(G1819,G1838)</f>
        <v>11.655223946352512</v>
      </c>
      <c r="H1818" s="3">
        <f t="shared" si="1117"/>
        <v>11.523605189901474</v>
      </c>
      <c r="I1818" s="3">
        <f t="shared" si="1117"/>
        <v>12.806296298615889</v>
      </c>
      <c r="J1818" s="3">
        <f t="shared" si="1117"/>
        <v>8.8262005056957999</v>
      </c>
      <c r="K1818" s="3">
        <f t="shared" si="1117"/>
        <v>8.1743090068167472</v>
      </c>
    </row>
    <row r="1819" spans="2:11" x14ac:dyDescent="0.25">
      <c r="B1819" s="5" t="str">
        <f t="shared" si="1102"/>
        <v>SPS2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9.3029845939331643</v>
      </c>
      <c r="G1819" s="1">
        <f t="shared" ref="G1819:K1819" si="1118">SUM(G1820,G1823,G1825,G1828,G1830,G1832,G1834,G1836)</f>
        <v>9.6364545051654051</v>
      </c>
      <c r="H1819" s="1">
        <f t="shared" si="1118"/>
        <v>9.6483437299048269</v>
      </c>
      <c r="I1819" s="1">
        <f t="shared" si="1118"/>
        <v>10.789183966269524</v>
      </c>
      <c r="J1819" s="1">
        <f t="shared" si="1118"/>
        <v>6.9390735023690615</v>
      </c>
      <c r="K1819" s="1">
        <f t="shared" si="1118"/>
        <v>6.1133413008602204</v>
      </c>
    </row>
    <row r="1820" spans="2:11" x14ac:dyDescent="0.25">
      <c r="B1820" s="5" t="str">
        <f t="shared" si="1102"/>
        <v>SPS2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2.1116639653013127</v>
      </c>
      <c r="G1820" s="1">
        <f t="shared" ref="G1820:K1820" si="1119">SUM(G1821:G1822)</f>
        <v>2.2731548310314014</v>
      </c>
      <c r="H1820" s="1">
        <f t="shared" si="1119"/>
        <v>2.6673981762714201</v>
      </c>
      <c r="I1820" s="1">
        <f t="shared" si="1119"/>
        <v>3.1435202388407797</v>
      </c>
      <c r="J1820" s="1">
        <f t="shared" si="1119"/>
        <v>4.0580469079580093</v>
      </c>
      <c r="K1820" s="1">
        <f t="shared" si="1119"/>
        <v>4.0921754974715583</v>
      </c>
    </row>
    <row r="1821" spans="2:11" x14ac:dyDescent="0.25">
      <c r="B1821" s="5" t="str">
        <f t="shared" si="1102"/>
        <v>SPS2</v>
      </c>
      <c r="C1821" s="5" t="str">
        <f t="shared" ref="B1821:C1821" si="1120">C1820</f>
        <v>CH</v>
      </c>
      <c r="D1821" t="s">
        <v>1863</v>
      </c>
      <c r="E1821" t="str">
        <f t="shared" ref="E1821:E1884" si="1121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0.67257138164053121</v>
      </c>
      <c r="G1821" s="1" cm="1">
        <f t="array" ref="G1821">SUMPRODUCT(([1]OUT_FinalEnergyCons!$B$4:$B$10000="var_cap")*1,(ISNUMBER(SEARCH("RH*-SHELCBR",[1]OUT_FinalEnergyCons!$A$4:$A$10000)))*1,[1]OUT_FinalEnergyCons!E$4:E$10000)</f>
        <v>0.60935248727533964</v>
      </c>
      <c r="H1821" s="1" cm="1">
        <f t="array" ref="H1821">SUMPRODUCT(([1]OUT_FinalEnergyCons!$B$4:$B$10000="var_cap")*1,(ISNUMBER(SEARCH("RH*-SHELCBR",[1]OUT_FinalEnergyCons!$A$4:$A$10000)))*1,[1]OUT_FinalEnergyCons!F$4:F$10000)</f>
        <v>0.13428595575720276</v>
      </c>
      <c r="I1821" s="1" cm="1">
        <f t="array" ref="I1821">SUMPRODUCT(([1]OUT_FinalEnergyCons!$B$4:$B$10000="var_cap")*1,(ISNUMBER(SEARCH("RH*-SHELCBR",[1]OUT_FinalEnergyCons!$A$4:$A$10000)))*1,[1]OUT_FinalEnergyCons!G$4:G$10000)</f>
        <v>4.7525511529432261E-2</v>
      </c>
      <c r="J1821" s="1" cm="1">
        <f t="array" ref="J1821">SUMPRODUCT(([1]OUT_FinalEnergyCons!$B$4:$B$10000="var_cap")*1,(ISNUMBER(SEARCH("RH*-SHELCBR",[1]OUT_FinalEnergyCons!$A$4:$A$10000)))*1,[1]OUT_FinalEnergyCons!H$4:H$10000)</f>
        <v>3.8198381391947177E-3</v>
      </c>
      <c r="K1821" s="1" cm="1">
        <f t="array" ref="K1821">SUMPRODUCT(([1]OUT_FinalEnergyCons!$B$4:$B$10000="var_cap")*1,(ISNUMBER(SEARCH("RH*-SHELCBR",[1]OUT_FinalEnergyCons!$A$4:$A$10000)))*1,[1]OUT_FinalEnergyCons!I$4:I$10000)</f>
        <v>1.8545645026999628E-3</v>
      </c>
    </row>
    <row r="1822" spans="2:11" x14ac:dyDescent="0.25">
      <c r="B1822" s="5" t="str">
        <f t="shared" si="1102"/>
        <v>SPS2</v>
      </c>
      <c r="C1822" s="5" t="str">
        <f t="shared" ref="B1822:C1822" si="1122">C1821</f>
        <v>CH</v>
      </c>
      <c r="D1822" t="s">
        <v>1864</v>
      </c>
      <c r="E1822" t="str">
        <f t="shared" si="1121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1.4390925836607817</v>
      </c>
      <c r="G1822" s="1" cm="1">
        <f t="array" ref="G1822">SUMPRODUCT(([1]OUT_FinalEnergyCons!$B$4:$B$10000="var_cap")*1,ISNUMBER(SEARCH("RH*-SHELCHP",[1]OUT_FinalEnergyCons!$A$4:$A$10000))*1,[1]OUT_FinalEnergyCons!E$4:E$10000)</f>
        <v>1.6638023437560618</v>
      </c>
      <c r="H1822" s="1" cm="1">
        <f t="array" ref="H1822">SUMPRODUCT(([1]OUT_FinalEnergyCons!$B$4:$B$10000="var_cap")*1,ISNUMBER(SEARCH("RH*-SHELCHP",[1]OUT_FinalEnergyCons!$A$4:$A$10000))*1,[1]OUT_FinalEnergyCons!F$4:F$10000)</f>
        <v>2.5331122205142171</v>
      </c>
      <c r="I1822" s="1" cm="1">
        <f t="array" ref="I1822">SUMPRODUCT(([1]OUT_FinalEnergyCons!$B$4:$B$10000="var_cap")*1,ISNUMBER(SEARCH("RH*-SHELCHP",[1]OUT_FinalEnergyCons!$A$4:$A$10000))*1,[1]OUT_FinalEnergyCons!G$4:G$10000)</f>
        <v>3.0959947273113473</v>
      </c>
      <c r="J1822" s="1" cm="1">
        <f t="array" ref="J1822">SUMPRODUCT(([1]OUT_FinalEnergyCons!$B$4:$B$10000="var_cap")*1,ISNUMBER(SEARCH("RH*-SHELCHP",[1]OUT_FinalEnergyCons!$A$4:$A$10000))*1,[1]OUT_FinalEnergyCons!H$4:H$10000)</f>
        <v>4.0542270698188148</v>
      </c>
      <c r="K1822" s="1" cm="1">
        <f t="array" ref="K1822">SUMPRODUCT(([1]OUT_FinalEnergyCons!$B$4:$B$10000="var_cap")*1,ISNUMBER(SEARCH("RH*-SHELCHP",[1]OUT_FinalEnergyCons!$A$4:$A$10000))*1,[1]OUT_FinalEnergyCons!I$4:I$10000)</f>
        <v>4.0903209329688579</v>
      </c>
    </row>
    <row r="1823" spans="2:11" x14ac:dyDescent="0.25">
      <c r="B1823" s="5" t="str">
        <f t="shared" si="1102"/>
        <v>SPS2</v>
      </c>
      <c r="C1823" s="5" t="str">
        <f t="shared" ref="B1823:C1823" si="1123">C1822</f>
        <v>CH</v>
      </c>
      <c r="D1823" t="s">
        <v>1865</v>
      </c>
      <c r="E1823" t="str">
        <f t="shared" si="1121"/>
        <v>GWth/yr.</v>
      </c>
      <c r="F1823" s="1">
        <f>F1824</f>
        <v>3.4074053831106799</v>
      </c>
      <c r="G1823" s="1">
        <f t="shared" ref="G1823:K1823" si="1124">G1824</f>
        <v>3.2384620301379927</v>
      </c>
      <c r="H1823" s="1">
        <f t="shared" si="1124"/>
        <v>2.7558151367337302</v>
      </c>
      <c r="I1823" s="1">
        <f t="shared" si="1124"/>
        <v>2.755587880892036</v>
      </c>
      <c r="J1823" s="1">
        <f t="shared" si="1124"/>
        <v>0.2792909648921722</v>
      </c>
      <c r="K1823" s="1">
        <f t="shared" si="1124"/>
        <v>2.48760408387248E-2</v>
      </c>
    </row>
    <row r="1824" spans="2:11" x14ac:dyDescent="0.25">
      <c r="B1824" s="5" t="str">
        <f t="shared" si="1102"/>
        <v>SPS2</v>
      </c>
      <c r="C1824" s="5" t="str">
        <f t="shared" ref="B1824:C1824" si="1125">C1823</f>
        <v>CH</v>
      </c>
      <c r="D1824" t="s">
        <v>1866</v>
      </c>
      <c r="E1824" t="str">
        <f t="shared" si="1121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3.2384620301379927</v>
      </c>
      <c r="H1824" s="1" cm="1">
        <f t="array" ref="H1824">SUMPRODUCT(([1]OUT_FinalEnergyCons!$B$4:$B$10000="var_cap")*1, (ISNUMBER(SEARCH("RH*-SHLFOBR",[1]OUT_FinalEnergyCons!$A$4:$A$10000)))*1,[1]OUT_FinalEnergyCons!F$4:F$10000)</f>
        <v>2.7558151367337302</v>
      </c>
      <c r="I1824" s="1" cm="1">
        <f t="array" ref="I1824">SUMPRODUCT(([1]OUT_FinalEnergyCons!$B$4:$B$10000="var_cap")*1, (ISNUMBER(SEARCH("RH*-SHLFOBR",[1]OUT_FinalEnergyCons!$A$4:$A$10000)))*1,[1]OUT_FinalEnergyCons!G$4:G$10000)</f>
        <v>2.755587880892036</v>
      </c>
      <c r="J1824" s="1" cm="1">
        <f t="array" ref="J1824">SUMPRODUCT(([1]OUT_FinalEnergyCons!$B$4:$B$10000="var_cap")*1, (ISNUMBER(SEARCH("RH*-SHLFOBR",[1]OUT_FinalEnergyCons!$A$4:$A$10000)))*1,[1]OUT_FinalEnergyCons!H$4:H$10000)</f>
        <v>0.2792909648921722</v>
      </c>
      <c r="K1824" s="1" cm="1">
        <f t="array" ref="K1824">SUMPRODUCT(([1]OUT_FinalEnergyCons!$B$4:$B$10000="var_cap")*1, (ISNUMBER(SEARCH("RH*-SHLFOBR",[1]OUT_FinalEnergyCons!$A$4:$A$10000)))*1,[1]OUT_FinalEnergyCons!I$4:I$10000)</f>
        <v>2.48760408387248E-2</v>
      </c>
    </row>
    <row r="1825" spans="2:11" x14ac:dyDescent="0.25">
      <c r="B1825" s="5" t="str">
        <f t="shared" si="1102"/>
        <v>SPS2</v>
      </c>
      <c r="C1825" s="5" t="str">
        <f t="shared" ref="B1825:C1825" si="1126">C1824</f>
        <v>CH</v>
      </c>
      <c r="D1825" t="s">
        <v>1867</v>
      </c>
      <c r="E1825" t="str">
        <f t="shared" si="1121"/>
        <v>GWth/yr.</v>
      </c>
      <c r="F1825" s="1">
        <f>SUM(F1826:F1827)</f>
        <v>2.7687542463545656</v>
      </c>
      <c r="G1825" s="1">
        <f t="shared" ref="G1825:K1825" si="1127">SUM(G1826:G1827)</f>
        <v>2.9491353445258293</v>
      </c>
      <c r="H1825" s="1">
        <f t="shared" si="1127"/>
        <v>3.206826092341299</v>
      </c>
      <c r="I1825" s="1">
        <f t="shared" si="1127"/>
        <v>3.8735229990297557</v>
      </c>
      <c r="J1825" s="1">
        <f t="shared" si="1127"/>
        <v>1.9827796196837562</v>
      </c>
      <c r="K1825" s="1">
        <f t="shared" si="1127"/>
        <v>1.6138133171290541</v>
      </c>
    </row>
    <row r="1826" spans="2:11" x14ac:dyDescent="0.25">
      <c r="B1826" s="5" t="str">
        <f t="shared" si="1102"/>
        <v>SPS2</v>
      </c>
      <c r="C1826" s="5" t="str">
        <f t="shared" ref="B1826:C1826" si="1128">C1825</f>
        <v>CH</v>
      </c>
      <c r="D1826" t="s">
        <v>1868</v>
      </c>
      <c r="E1826" t="str">
        <f t="shared" si="1121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2.9491325939352069</v>
      </c>
      <c r="H1826" s="1" cm="1">
        <f t="array" ref="H1826">SUMPRODUCT(([1]OUT_FinalEnergyCons!$B$4:$B$10000="var_cap")*1, (ISNUMBER(SEARCH("RH*-SHNGABR",[1]OUT_FinalEnergyCons!$A$4:$A$10000)))*1,[1]OUT_FinalEnergyCons!F$4:F$10000)</f>
        <v>2.8368037384726477</v>
      </c>
      <c r="I1826" s="1" cm="1">
        <f t="array" ref="I1826">SUMPRODUCT(([1]OUT_FinalEnergyCons!$B$4:$B$10000="var_cap")*1, (ISNUMBER(SEARCH("RH*-SHNGABR",[1]OUT_FinalEnergyCons!$A$4:$A$10000)))*1,[1]OUT_FinalEnergyCons!G$4:G$10000)</f>
        <v>2.8366322137709501</v>
      </c>
      <c r="J1826" s="1" cm="1">
        <f t="array" ref="J1826">SUMPRODUCT(([1]OUT_FinalEnergyCons!$B$4:$B$10000="var_cap")*1, (ISNUMBER(SEARCH("RH*-SHNGABR",[1]OUT_FinalEnergyCons!$A$4:$A$10000)))*1,[1]OUT_FinalEnergyCons!H$4:H$10000)</f>
        <v>0.48832903116820348</v>
      </c>
      <c r="K1826" s="1" cm="1">
        <f t="array" ref="K1826">SUMPRODUCT(([1]OUT_FinalEnergyCons!$B$4:$B$10000="var_cap")*1, (ISNUMBER(SEARCH("RH*-SHNGABR",[1]OUT_FinalEnergyCons!$A$4:$A$10000)))*1,[1]OUT_FinalEnergyCons!I$4:I$10000)</f>
        <v>0.21888020032558589</v>
      </c>
    </row>
    <row r="1827" spans="2:11" x14ac:dyDescent="0.25">
      <c r="B1827" s="5" t="str">
        <f t="shared" si="1102"/>
        <v>SPS2</v>
      </c>
      <c r="C1827" s="5" t="str">
        <f t="shared" ref="B1827:C1827" si="1129">C1826</f>
        <v>CH</v>
      </c>
      <c r="D1827" t="s">
        <v>1869</v>
      </c>
      <c r="E1827" t="str">
        <f t="shared" si="1121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1.9511621558750599E-7</v>
      </c>
      <c r="G1827" s="1" cm="1">
        <f t="array" ref="G1827">SUMPRODUCT(([1]OUT_FinalEnergyCons!$B$4:$B$10000="var_cap")*1,ISNUMBER(SEARCH("RH*-SHngahp",[1]OUT_FinalEnergyCons!$A$4:$A$10000))*1,[1]OUT_FinalEnergyCons!E$4:E$10000)</f>
        <v>2.750590622529884E-6</v>
      </c>
      <c r="H1827" s="1" cm="1">
        <f t="array" ref="H1827">SUMPRODUCT(([1]OUT_FinalEnergyCons!$B$4:$B$10000="var_cap")*1,ISNUMBER(SEARCH("RH*-SHngahp",[1]OUT_FinalEnergyCons!$A$4:$A$10000))*1,[1]OUT_FinalEnergyCons!F$4:F$10000)</f>
        <v>0.37002235386865134</v>
      </c>
      <c r="I1827" s="1" cm="1">
        <f t="array" ref="I1827">SUMPRODUCT(([1]OUT_FinalEnergyCons!$B$4:$B$10000="var_cap")*1,ISNUMBER(SEARCH("RH*-SHngahp",[1]OUT_FinalEnergyCons!$A$4:$A$10000))*1,[1]OUT_FinalEnergyCons!G$4:G$10000)</f>
        <v>1.0368907852588056</v>
      </c>
      <c r="J1827" s="1" cm="1">
        <f t="array" ref="J1827">SUMPRODUCT(([1]OUT_FinalEnergyCons!$B$4:$B$10000="var_cap")*1,ISNUMBER(SEARCH("RH*-SHngahp",[1]OUT_FinalEnergyCons!$A$4:$A$10000))*1,[1]OUT_FinalEnergyCons!H$4:H$10000)</f>
        <v>1.4944505885155528</v>
      </c>
      <c r="K1827" s="1" cm="1">
        <f t="array" ref="K1827">SUMPRODUCT(([1]OUT_FinalEnergyCons!$B$4:$B$10000="var_cap")*1,ISNUMBER(SEARCH("RH*-SHngahp",[1]OUT_FinalEnergyCons!$A$4:$A$10000))*1,[1]OUT_FinalEnergyCons!I$4:I$10000)</f>
        <v>1.3949331168034682</v>
      </c>
    </row>
    <row r="1828" spans="2:11" x14ac:dyDescent="0.25">
      <c r="B1828" s="5" t="str">
        <f t="shared" si="1102"/>
        <v>SPS2</v>
      </c>
      <c r="C1828" s="5" t="str">
        <f t="shared" ref="B1828:C1828" si="1130">C1827</f>
        <v>CH</v>
      </c>
      <c r="D1828" t="s">
        <v>1870</v>
      </c>
      <c r="E1828" t="str">
        <f t="shared" si="1121"/>
        <v>GWth/yr.</v>
      </c>
      <c r="F1828" s="1">
        <f>F1829</f>
        <v>7.0000000000000001E-3</v>
      </c>
      <c r="G1828" s="1">
        <f t="shared" ref="G1828:K1828" si="1131">G1829</f>
        <v>6.5355923079012269E-3</v>
      </c>
      <c r="H1828" s="1">
        <f t="shared" si="1131"/>
        <v>2.3376633427110698E-3</v>
      </c>
      <c r="I1828" s="1">
        <f t="shared" si="1131"/>
        <v>2.5273780213920516E-5</v>
      </c>
      <c r="J1828" s="1">
        <f t="shared" si="1131"/>
        <v>0</v>
      </c>
      <c r="K1828" s="1">
        <f t="shared" si="1131"/>
        <v>0</v>
      </c>
    </row>
    <row r="1829" spans="2:11" x14ac:dyDescent="0.25">
      <c r="B1829" s="5" t="str">
        <f t="shared" si="1102"/>
        <v>SPS2</v>
      </c>
      <c r="C1829" s="5" t="str">
        <f t="shared" ref="B1829:C1829" si="1132">C1828</f>
        <v>CH</v>
      </c>
      <c r="D1829" t="s">
        <v>1871</v>
      </c>
      <c r="E1829" t="str">
        <f t="shared" si="1121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6.5355923079012269E-3</v>
      </c>
      <c r="H1829" s="1" cm="1">
        <f t="array" ref="H1829">SUMPRODUCT(([1]OUT_FinalEnergyCons!$B$4:$B$10000="var_cap")*1, (ISNUMBER(SEARCH("RH*-SHCOABR",[1]OUT_FinalEnergyCons!$A$4:$A$10000)))*1,[1]OUT_FinalEnergyCons!F$4:F$10000)</f>
        <v>2.3376633427110698E-3</v>
      </c>
      <c r="I1829" s="1" cm="1">
        <f t="array" ref="I1829">SUMPRODUCT(([1]OUT_FinalEnergyCons!$B$4:$B$10000="var_cap")*1, (ISNUMBER(SEARCH("RH*-SHCOABR",[1]OUT_FinalEnergyCons!$A$4:$A$10000)))*1,[1]OUT_FinalEnergyCons!G$4:G$10000)</f>
        <v>2.5273780213920516E-5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 t="shared" si="1102"/>
        <v>SPS2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0.6895864139705552</v>
      </c>
      <c r="G1830" s="1">
        <f t="shared" ref="G1830:K1830" si="1133">G1831</f>
        <v>0.79188167495265149</v>
      </c>
      <c r="H1830" s="1">
        <f t="shared" si="1133"/>
        <v>0.82078191208190121</v>
      </c>
      <c r="I1830" s="1">
        <f t="shared" si="1133"/>
        <v>0.82077607847420286</v>
      </c>
      <c r="J1830" s="1">
        <f t="shared" si="1133"/>
        <v>0.57048905828151719</v>
      </c>
      <c r="K1830" s="1">
        <f t="shared" si="1133"/>
        <v>0.34027578317463303</v>
      </c>
    </row>
    <row r="1831" spans="2:11" x14ac:dyDescent="0.25">
      <c r="B1831" s="5" t="str">
        <f t="shared" si="1102"/>
        <v>SPS2</v>
      </c>
      <c r="C1831" s="5" t="str">
        <f t="shared" ref="B1831:C1831" si="1134">C1830</f>
        <v>CH</v>
      </c>
      <c r="D1831" t="s">
        <v>1873</v>
      </c>
      <c r="E1831" t="str">
        <f t="shared" si="1121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0.6895864139705552</v>
      </c>
      <c r="G1831" s="1" cm="1">
        <f t="array" ref="G1831">SUMPRODUCT(([1]OUT_FinalEnergyCons!$B$4:$B$10000="var_cap")*1, (ISNUMBER(SEARCH("RH*-SHWODBR",[1]OUT_FinalEnergyCons!$A$4:$A$10000)))*1,[1]OUT_FinalEnergyCons!E$4:E$10000)</f>
        <v>0.79188167495265149</v>
      </c>
      <c r="H1831" s="1" cm="1">
        <f t="array" ref="H1831">SUMPRODUCT(([1]OUT_FinalEnergyCons!$B$4:$B$10000="var_cap")*1, (ISNUMBER(SEARCH("RH*-SHWODBR",[1]OUT_FinalEnergyCons!$A$4:$A$10000)))*1,[1]OUT_FinalEnergyCons!F$4:F$10000)</f>
        <v>0.82078191208190121</v>
      </c>
      <c r="I1831" s="1" cm="1">
        <f t="array" ref="I1831">SUMPRODUCT(([1]OUT_FinalEnergyCons!$B$4:$B$10000="var_cap")*1, (ISNUMBER(SEARCH("RH*-SHWODBR",[1]OUT_FinalEnergyCons!$A$4:$A$10000)))*1,[1]OUT_FinalEnergyCons!G$4:G$10000)</f>
        <v>0.82077607847420286</v>
      </c>
      <c r="J1831" s="1" cm="1">
        <f t="array" ref="J1831">SUMPRODUCT(([1]OUT_FinalEnergyCons!$B$4:$B$10000="var_cap")*1, (ISNUMBER(SEARCH("RH*-SHWODBR",[1]OUT_FinalEnergyCons!$A$4:$A$10000)))*1,[1]OUT_FinalEnergyCons!H$4:H$10000)</f>
        <v>0.57048905828151719</v>
      </c>
      <c r="K1831" s="1" cm="1">
        <f t="array" ref="K1831">SUMPRODUCT(([1]OUT_FinalEnergyCons!$B$4:$B$10000="var_cap")*1, (ISNUMBER(SEARCH("RH*-SHWODBR",[1]OUT_FinalEnergyCons!$A$4:$A$10000)))*1,[1]OUT_FinalEnergyCons!I$4:I$10000)</f>
        <v>0.34027578317463303</v>
      </c>
    </row>
    <row r="1832" spans="2:11" x14ac:dyDescent="0.25">
      <c r="B1832" s="5" t="str">
        <f t="shared" si="1102"/>
        <v>SPS2</v>
      </c>
      <c r="C1832" s="5" t="str">
        <f t="shared" ref="B1832:C1832" si="1135">C1831</f>
        <v>CH</v>
      </c>
      <c r="D1832" t="s">
        <v>1874</v>
      </c>
      <c r="E1832" t="str">
        <f t="shared" si="1121"/>
        <v>GWth/yr.</v>
      </c>
      <c r="F1832" s="1">
        <f>F1833</f>
        <v>0.20443922796463712</v>
      </c>
      <c r="G1832" s="1">
        <f t="shared" ref="G1832:K1832" si="1136">G1833</f>
        <v>0.24035233354063701</v>
      </c>
      <c r="H1832" s="1">
        <f t="shared" si="1136"/>
        <v>5.825741984792384E-2</v>
      </c>
      <c r="I1832" s="1">
        <f t="shared" si="1136"/>
        <v>5.8821420402127407E-2</v>
      </c>
      <c r="J1832" s="1">
        <f t="shared" si="1136"/>
        <v>4.298648617091147E-2</v>
      </c>
      <c r="K1832" s="1">
        <f t="shared" si="1136"/>
        <v>3.6909751196368142E-2</v>
      </c>
    </row>
    <row r="1833" spans="2:11" x14ac:dyDescent="0.25">
      <c r="B1833" s="5" t="str">
        <f t="shared" si="1102"/>
        <v>SPS2</v>
      </c>
      <c r="C1833" s="5" t="str">
        <f t="shared" ref="B1833:C1833" si="1137">C1832</f>
        <v>CH</v>
      </c>
      <c r="D1833" t="s">
        <v>1875</v>
      </c>
      <c r="E1833" t="str">
        <f t="shared" si="1121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0.20443922796463712</v>
      </c>
      <c r="G1833" s="1" cm="1">
        <f t="array" ref="G1833">SUMPRODUCT(([1]OUT_FinalEnergyCons!$B$4:$B$10000="var_cap")*1, (ISNUMBER(SEARCH("RH*-SHPLTBR",[1]OUT_FinalEnergyCons!$A$4:$A$10000)))*1,[1]OUT_FinalEnergyCons!E$4:E$10000)</f>
        <v>0.24035233354063701</v>
      </c>
      <c r="H1833" s="1" cm="1">
        <f t="array" ref="H1833">SUMPRODUCT(([1]OUT_FinalEnergyCons!$B$4:$B$10000="var_cap")*1, (ISNUMBER(SEARCH("RH*-SHPLTBR",[1]OUT_FinalEnergyCons!$A$4:$A$10000)))*1,[1]OUT_FinalEnergyCons!F$4:F$10000)</f>
        <v>5.825741984792384E-2</v>
      </c>
      <c r="I1833" s="1" cm="1">
        <f t="array" ref="I1833">SUMPRODUCT(([1]OUT_FinalEnergyCons!$B$4:$B$10000="var_cap")*1, (ISNUMBER(SEARCH("RH*-SHPLTBR",[1]OUT_FinalEnergyCons!$A$4:$A$10000)))*1,[1]OUT_FinalEnergyCons!G$4:G$10000)</f>
        <v>5.8821420402127407E-2</v>
      </c>
      <c r="J1833" s="1" cm="1">
        <f t="array" ref="J1833">SUMPRODUCT(([1]OUT_FinalEnergyCons!$B$4:$B$10000="var_cap")*1, (ISNUMBER(SEARCH("RH*-SHPLTBR",[1]OUT_FinalEnergyCons!$A$4:$A$10000)))*1,[1]OUT_FinalEnergyCons!H$4:H$10000)</f>
        <v>4.298648617091147E-2</v>
      </c>
      <c r="K1833" s="1" cm="1">
        <f t="array" ref="K1833">SUMPRODUCT(([1]OUT_FinalEnergyCons!$B$4:$B$10000="var_cap")*1, (ISNUMBER(SEARCH("RH*-SHPLTBR",[1]OUT_FinalEnergyCons!$A$4:$A$10000)))*1,[1]OUT_FinalEnergyCons!I$4:I$10000)</f>
        <v>3.6909751196368142E-2</v>
      </c>
    </row>
    <row r="1834" spans="2:11" x14ac:dyDescent="0.25">
      <c r="B1834" s="5" t="str">
        <f t="shared" si="1102"/>
        <v>SPS2</v>
      </c>
      <c r="C1834" s="5" t="str">
        <f t="shared" ref="B1834:C1834" si="1138">C1833</f>
        <v>CH</v>
      </c>
      <c r="D1834" t="s">
        <v>1876</v>
      </c>
      <c r="E1834" t="str">
        <f t="shared" si="1121"/>
        <v>GWth/yr.</v>
      </c>
      <c r="F1834" s="1">
        <f>F1835</f>
        <v>0.11413535723141527</v>
      </c>
      <c r="G1834" s="1">
        <f t="shared" ref="G1834:K1834" si="1139">G1835</f>
        <v>0.13693269866899221</v>
      </c>
      <c r="H1834" s="1">
        <f t="shared" si="1139"/>
        <v>0.13692732928583967</v>
      </c>
      <c r="I1834" s="1">
        <f t="shared" si="1139"/>
        <v>0.13693007485040787</v>
      </c>
      <c r="J1834" s="1">
        <f t="shared" si="1139"/>
        <v>5.4804653826960644E-3</v>
      </c>
      <c r="K1834" s="1">
        <f t="shared" si="1139"/>
        <v>5.2909110498822604E-3</v>
      </c>
    </row>
    <row r="1835" spans="2:11" x14ac:dyDescent="0.25">
      <c r="B1835" s="5" t="str">
        <f t="shared" si="1102"/>
        <v>SPS2</v>
      </c>
      <c r="C1835" s="5" t="str">
        <f t="shared" ref="B1835:C1835" si="1140">C1834</f>
        <v>CH</v>
      </c>
      <c r="D1835" t="s">
        <v>1877</v>
      </c>
      <c r="E1835" t="str">
        <f t="shared" si="1121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0.11413535723141527</v>
      </c>
      <c r="G1835" s="1" cm="1">
        <f t="array" ref="G1835">SUMPRODUCT(([1]OUT_FinalEnergyCons!$B$4:$B$10000="var_cap")*1, (ISNUMBER(SEARCH("RH*-SHSOLBR",[1]OUT_FinalEnergyCons!$A$4:$A$10000)))*1,[1]OUT_FinalEnergyCons!E$4:E$10000)</f>
        <v>0.13693269866899221</v>
      </c>
      <c r="H1835" s="1" cm="1">
        <f t="array" ref="H1835">SUMPRODUCT(([1]OUT_FinalEnergyCons!$B$4:$B$10000="var_cap")*1, (ISNUMBER(SEARCH("RH*-SHSOLBR",[1]OUT_FinalEnergyCons!$A$4:$A$10000)))*1,[1]OUT_FinalEnergyCons!F$4:F$10000)</f>
        <v>0.13692732928583967</v>
      </c>
      <c r="I1835" s="1" cm="1">
        <f t="array" ref="I1835">SUMPRODUCT(([1]OUT_FinalEnergyCons!$B$4:$B$10000="var_cap")*1, (ISNUMBER(SEARCH("RH*-SHSOLBR",[1]OUT_FinalEnergyCons!$A$4:$A$10000)))*1,[1]OUT_FinalEnergyCons!G$4:G$10000)</f>
        <v>0.13693007485040787</v>
      </c>
      <c r="J1835" s="1" cm="1">
        <f t="array" ref="J1835">SUMPRODUCT(([1]OUT_FinalEnergyCons!$B$4:$B$10000="var_cap")*1, (ISNUMBER(SEARCH("RH*-SHSOLBR",[1]OUT_FinalEnergyCons!$A$4:$A$10000)))*1,[1]OUT_FinalEnergyCons!H$4:H$10000)</f>
        <v>5.4804653826960644E-3</v>
      </c>
      <c r="K1835" s="1" cm="1">
        <f t="array" ref="K1835">SUMPRODUCT(([1]OUT_FinalEnergyCons!$B$4:$B$10000="var_cap")*1, (ISNUMBER(SEARCH("RH*-SHSOLBR",[1]OUT_FinalEnergyCons!$A$4:$A$10000)))*1,[1]OUT_FinalEnergyCons!I$4:I$10000)</f>
        <v>5.2909110498822604E-3</v>
      </c>
    </row>
    <row r="1836" spans="2:11" x14ac:dyDescent="0.25">
      <c r="B1836" s="5" t="str">
        <f t="shared" si="1102"/>
        <v>SPS2</v>
      </c>
      <c r="C1836" s="5" t="str">
        <f t="shared" ref="B1836:C1836" si="1141">C1835</f>
        <v>CH</v>
      </c>
      <c r="D1836" t="s">
        <v>1878</v>
      </c>
      <c r="E1836" t="str">
        <f t="shared" si="1121"/>
        <v>GWth/yr.</v>
      </c>
      <c r="F1836" s="1">
        <f>F1837</f>
        <v>0</v>
      </c>
      <c r="G1836" s="1">
        <f t="shared" ref="G1836:K1836" si="1142">G1837</f>
        <v>0</v>
      </c>
      <c r="H1836" s="1">
        <f t="shared" si="1142"/>
        <v>0</v>
      </c>
      <c r="I1836" s="1">
        <f t="shared" si="1142"/>
        <v>0</v>
      </c>
      <c r="J1836" s="1">
        <f t="shared" si="1142"/>
        <v>0</v>
      </c>
      <c r="K1836" s="1">
        <f t="shared" si="1142"/>
        <v>0</v>
      </c>
    </row>
    <row r="1837" spans="2:11" x14ac:dyDescent="0.25">
      <c r="B1837" s="5" t="str">
        <f t="shared" si="1102"/>
        <v>SPS2</v>
      </c>
      <c r="C1837" s="5" t="str">
        <f t="shared" ref="B1837:C1837" si="1143">C1836</f>
        <v>CH</v>
      </c>
      <c r="D1837" t="s">
        <v>1879</v>
      </c>
      <c r="E1837" t="str">
        <f t="shared" si="1121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si="1102"/>
        <v>SPS2</v>
      </c>
      <c r="C1838" s="5" t="str">
        <f t="shared" ref="B1838:C1838" si="1144">C1837</f>
        <v>CH</v>
      </c>
      <c r="D1838" t="s">
        <v>1880</v>
      </c>
      <c r="E1838" t="str">
        <f t="shared" si="1121"/>
        <v>GWth/yr.</v>
      </c>
      <c r="F1838" s="1">
        <f>SUM(F1839,F1842,F1844,F1847,F1849,F1851,F1853,F1855)</f>
        <v>1.8609979048974141</v>
      </c>
      <c r="G1838" s="1">
        <f t="shared" ref="G1838" si="1145">SUM(G1839,G1842,G1844,G1847,G1849,G1851,G1853,G1855)</f>
        <v>2.0187694411871071</v>
      </c>
      <c r="H1838" s="1">
        <f t="shared" ref="H1838" si="1146">SUM(H1839,H1842,H1844,H1847,H1849,H1851,H1853,H1855)</f>
        <v>1.8752614599966462</v>
      </c>
      <c r="I1838" s="1">
        <f t="shared" ref="I1838" si="1147">SUM(I1839,I1842,I1844,I1847,I1849,I1851,I1853,I1855)</f>
        <v>2.0171123323463642</v>
      </c>
      <c r="J1838" s="1">
        <f t="shared" ref="J1838" si="1148">SUM(J1839,J1842,J1844,J1847,J1849,J1851,J1853,J1855)</f>
        <v>1.8871270033267389</v>
      </c>
      <c r="K1838" s="1">
        <f t="shared" ref="K1838" si="1149">SUM(K1839,K1842,K1844,K1847,K1849,K1851,K1853,K1855)</f>
        <v>2.0609677059565268</v>
      </c>
    </row>
    <row r="1839" spans="2:11" x14ac:dyDescent="0.25">
      <c r="B1839" s="5" t="str">
        <f t="shared" si="1102"/>
        <v>SPS2</v>
      </c>
      <c r="C1839" s="5" t="str">
        <f t="shared" ref="B1839:C1839" si="1150">C1838</f>
        <v>CH</v>
      </c>
      <c r="D1839" t="s">
        <v>1881</v>
      </c>
      <c r="E1839" t="str">
        <f t="shared" si="1121"/>
        <v>GWth/yr.</v>
      </c>
      <c r="F1839" s="1">
        <f>SUM(F1840:F1841)</f>
        <v>0.65093979637526955</v>
      </c>
      <c r="G1839" s="1">
        <f t="shared" ref="G1839" si="1151">SUM(G1840:G1841)</f>
        <v>0.71888966932014653</v>
      </c>
      <c r="H1839" s="1">
        <f t="shared" ref="H1839" si="1152">SUM(H1840:H1841)</f>
        <v>0.63485530263419876</v>
      </c>
      <c r="I1839" s="1">
        <f t="shared" ref="I1839" si="1153">SUM(I1840:I1841)</f>
        <v>0.72818256155699757</v>
      </c>
      <c r="J1839" s="1">
        <f t="shared" ref="J1839" si="1154">SUM(J1840:J1841)</f>
        <v>0.97044996221371971</v>
      </c>
      <c r="K1839" s="1">
        <f t="shared" ref="K1839" si="1155">SUM(K1840:K1841)</f>
        <v>1.1925126786560862</v>
      </c>
    </row>
    <row r="1840" spans="2:11" x14ac:dyDescent="0.25">
      <c r="B1840" s="5" t="str">
        <f t="shared" si="1102"/>
        <v>SPS2</v>
      </c>
      <c r="C1840" s="5" t="str">
        <f t="shared" ref="B1840:C1840" si="1156">C1839</f>
        <v>CH</v>
      </c>
      <c r="D1840" t="s">
        <v>1882</v>
      </c>
      <c r="E1840" t="str">
        <f t="shared" si="1121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0.43758176980844138</v>
      </c>
      <c r="G1840" s="1" cm="1">
        <f t="array" ref="G1840">SUMPRODUCT(([1]OUT_FinalEnergyCons!$B$4:$B$10000="var_cap")*1,(ISNUMBER(SEARCH("RH*-WHELCBR",[1]OUT_FinalEnergyCons!$A$4:$A$10000)))*1,[1]OUT_FinalEnergyCons!E$4:E$10000)</f>
        <v>0.47180083412835278</v>
      </c>
      <c r="H1840" s="1" cm="1">
        <f t="array" ref="H1840">SUMPRODUCT(([1]OUT_FinalEnergyCons!$B$4:$B$10000="var_cap")*1,(ISNUMBER(SEARCH("RH*-WHELCBR",[1]OUT_FinalEnergyCons!$A$4:$A$10000)))*1,[1]OUT_FinalEnergyCons!F$4:F$10000)</f>
        <v>0.32188866567574898</v>
      </c>
      <c r="I1840" s="1" cm="1">
        <f t="array" ref="I1840">SUMPRODUCT(([1]OUT_FinalEnergyCons!$B$4:$B$10000="var_cap")*1,(ISNUMBER(SEARCH("RH*-WHELCBR",[1]OUT_FinalEnergyCons!$A$4:$A$10000)))*1,[1]OUT_FinalEnergyCons!G$4:G$10000)</f>
        <v>0.2497438433422354</v>
      </c>
      <c r="J1840" s="1" cm="1">
        <f t="array" ref="J1840">SUMPRODUCT(([1]OUT_FinalEnergyCons!$B$4:$B$10000="var_cap")*1,(ISNUMBER(SEARCH("RH*-WHELCBR",[1]OUT_FinalEnergyCons!$A$4:$A$10000)))*1,[1]OUT_FinalEnergyCons!H$4:H$10000)</f>
        <v>0.13316467002938306</v>
      </c>
      <c r="K1840" s="1" cm="1">
        <f t="array" ref="K1840">SUMPRODUCT(([1]OUT_FinalEnergyCons!$B$4:$B$10000="var_cap")*1,(ISNUMBER(SEARCH("RH*-WHELCBR",[1]OUT_FinalEnergyCons!$A$4:$A$10000)))*1,[1]OUT_FinalEnergyCons!I$4:I$10000)</f>
        <v>0.16531975156625525</v>
      </c>
    </row>
    <row r="1841" spans="2:11" x14ac:dyDescent="0.25">
      <c r="B1841" s="5" t="str">
        <f t="shared" si="1102"/>
        <v>SPS2</v>
      </c>
      <c r="C1841" s="5" t="str">
        <f t="shared" ref="B1841:C1841" si="1157">C1840</f>
        <v>CH</v>
      </c>
      <c r="D1841" t="s">
        <v>1883</v>
      </c>
      <c r="E1841" t="str">
        <f t="shared" si="1121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0.21335802656682817</v>
      </c>
      <c r="G1841" s="1" cm="1">
        <f t="array" ref="G1841">SUMPRODUCT(([1]OUT_FinalEnergyCons!$B$4:$B$10000="var_cap")*1,ISNUMBER(SEARCH("RH*-WHELCHP",[1]OUT_FinalEnergyCons!$A$4:$A$10000))*1,[1]OUT_FinalEnergyCons!E$4:E$10000)</f>
        <v>0.24708883519179373</v>
      </c>
      <c r="H1841" s="1" cm="1">
        <f t="array" ref="H1841">SUMPRODUCT(([1]OUT_FinalEnergyCons!$B$4:$B$10000="var_cap")*1,ISNUMBER(SEARCH("RH*-WHELCHP",[1]OUT_FinalEnergyCons!$A$4:$A$10000))*1,[1]OUT_FinalEnergyCons!F$4:F$10000)</f>
        <v>0.31296663695844973</v>
      </c>
      <c r="I1841" s="1" cm="1">
        <f t="array" ref="I1841">SUMPRODUCT(([1]OUT_FinalEnergyCons!$B$4:$B$10000="var_cap")*1,ISNUMBER(SEARCH("RH*-WHELCHP",[1]OUT_FinalEnergyCons!$A$4:$A$10000))*1,[1]OUT_FinalEnergyCons!G$4:G$10000)</f>
        <v>0.47843871821476219</v>
      </c>
      <c r="J1841" s="1" cm="1">
        <f t="array" ref="J1841">SUMPRODUCT(([1]OUT_FinalEnergyCons!$B$4:$B$10000="var_cap")*1,ISNUMBER(SEARCH("RH*-WHELCHP",[1]OUT_FinalEnergyCons!$A$4:$A$10000))*1,[1]OUT_FinalEnergyCons!H$4:H$10000)</f>
        <v>0.83728529218433667</v>
      </c>
      <c r="K1841" s="1" cm="1">
        <f t="array" ref="K1841">SUMPRODUCT(([1]OUT_FinalEnergyCons!$B$4:$B$10000="var_cap")*1,ISNUMBER(SEARCH("RH*-WHELCHP",[1]OUT_FinalEnergyCons!$A$4:$A$10000))*1,[1]OUT_FinalEnergyCons!I$4:I$10000)</f>
        <v>1.027192927089831</v>
      </c>
    </row>
    <row r="1842" spans="2:11" x14ac:dyDescent="0.25">
      <c r="B1842" s="5" t="str">
        <f t="shared" si="1102"/>
        <v>SPS2</v>
      </c>
      <c r="C1842" s="5" t="str">
        <f t="shared" ref="B1842:C1842" si="1158">C1841</f>
        <v>CH</v>
      </c>
      <c r="D1842" t="s">
        <v>1884</v>
      </c>
      <c r="E1842" t="str">
        <f t="shared" si="1121"/>
        <v>GWth/yr.</v>
      </c>
      <c r="F1842" s="1">
        <f>F1843</f>
        <v>0.47738433216181703</v>
      </c>
      <c r="G1842" s="1">
        <f t="shared" ref="G1842" si="1159">G1843</f>
        <v>0.47738088150648805</v>
      </c>
      <c r="H1842" s="1">
        <f t="shared" ref="H1842" si="1160">H1843</f>
        <v>0.31246890746999156</v>
      </c>
      <c r="I1842" s="1">
        <f t="shared" ref="I1842" si="1161">I1843</f>
        <v>0.20163586751776535</v>
      </c>
      <c r="J1842" s="1">
        <f t="shared" ref="J1842" si="1162">J1843</f>
        <v>5.0099470618437864E-2</v>
      </c>
      <c r="K1842" s="1">
        <f t="shared" ref="K1842" si="1163">K1843</f>
        <v>5.2717762563932007E-3</v>
      </c>
    </row>
    <row r="1843" spans="2:11" x14ac:dyDescent="0.25">
      <c r="B1843" s="5" t="str">
        <f t="shared" si="1102"/>
        <v>SPS2</v>
      </c>
      <c r="C1843" s="5" t="str">
        <f t="shared" ref="B1843:C1843" si="1164">C1842</f>
        <v>CH</v>
      </c>
      <c r="D1843" t="s">
        <v>1885</v>
      </c>
      <c r="E1843" t="str">
        <f t="shared" si="1121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0.47738088150648805</v>
      </c>
      <c r="H1843" s="1" cm="1">
        <f t="array" ref="H1843">SUMPRODUCT(([1]OUT_FinalEnergyCons!$B$4:$B$10000="var_cap")*1, (ISNUMBER(SEARCH("RH*-WHLFOBR",[1]OUT_FinalEnergyCons!$A$4:$A$10000)))*1,[1]OUT_FinalEnergyCons!F$4:F$10000)</f>
        <v>0.31246890746999156</v>
      </c>
      <c r="I1843" s="1" cm="1">
        <f t="array" ref="I1843">SUMPRODUCT(([1]OUT_FinalEnergyCons!$B$4:$B$10000="var_cap")*1, (ISNUMBER(SEARCH("RH*-WHLFOBR",[1]OUT_FinalEnergyCons!$A$4:$A$10000)))*1,[1]OUT_FinalEnergyCons!G$4:G$10000)</f>
        <v>0.20163586751776535</v>
      </c>
      <c r="J1843" s="1" cm="1">
        <f t="array" ref="J1843">SUMPRODUCT(([1]OUT_FinalEnergyCons!$B$4:$B$10000="var_cap")*1, (ISNUMBER(SEARCH("RH*-WHLFOBR",[1]OUT_FinalEnergyCons!$A$4:$A$10000)))*1,[1]OUT_FinalEnergyCons!H$4:H$10000)</f>
        <v>5.0099470618437864E-2</v>
      </c>
      <c r="K1843" s="1" cm="1">
        <f t="array" ref="K1843">SUMPRODUCT(([1]OUT_FinalEnergyCons!$B$4:$B$10000="var_cap")*1, (ISNUMBER(SEARCH("RH*-WHLFOBR",[1]OUT_FinalEnergyCons!$A$4:$A$10000)))*1,[1]OUT_FinalEnergyCons!I$4:I$10000)</f>
        <v>5.2717762563932007E-3</v>
      </c>
    </row>
    <row r="1844" spans="2:11" x14ac:dyDescent="0.25">
      <c r="B1844" s="5" t="str">
        <f t="shared" ref="B1844:B1907" si="1165">B1843</f>
        <v>SPS2</v>
      </c>
      <c r="C1844" s="5" t="str">
        <f t="shared" ref="B1844:C1844" si="1166">C1843</f>
        <v>CH</v>
      </c>
      <c r="D1844" t="s">
        <v>1886</v>
      </c>
      <c r="E1844" t="str">
        <f t="shared" si="1121"/>
        <v>GWth/yr.</v>
      </c>
      <c r="F1844" s="1">
        <f>SUM(F1845:F1846)</f>
        <v>0.43610075806793741</v>
      </c>
      <c r="G1844" s="1">
        <f t="shared" ref="G1844" si="1167">SUM(G1845:G1846)</f>
        <v>0.43609954582968635</v>
      </c>
      <c r="H1844" s="1">
        <f t="shared" ref="H1844" si="1168">SUM(H1845:H1846)</f>
        <v>0.50307611604765556</v>
      </c>
      <c r="I1844" s="1">
        <f t="shared" ref="I1844" si="1169">SUM(I1845:I1846)</f>
        <v>0.65249439212955584</v>
      </c>
      <c r="J1844" s="1">
        <f t="shared" ref="J1844" si="1170">SUM(J1845:J1846)</f>
        <v>0.50520073291195111</v>
      </c>
      <c r="K1844" s="1">
        <f t="shared" ref="K1844" si="1171">SUM(K1845:K1846)</f>
        <v>0.51332465773686264</v>
      </c>
    </row>
    <row r="1845" spans="2:11" x14ac:dyDescent="0.25">
      <c r="B1845" s="5" t="str">
        <f t="shared" si="1165"/>
        <v>SPS2</v>
      </c>
      <c r="C1845" s="5" t="str">
        <f t="shared" ref="B1845:C1845" si="1172">C1844</f>
        <v>CH</v>
      </c>
      <c r="D1845" t="s">
        <v>1887</v>
      </c>
      <c r="E1845" t="str">
        <f t="shared" si="1121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0.43609862312797998</v>
      </c>
      <c r="H1845" s="1" cm="1">
        <f t="array" ref="H1845">SUMPRODUCT(([1]OUT_FinalEnergyCons!$B$4:$B$10000="var_cap")*1, (ISNUMBER(SEARCH("RH*-WHNGABR",[1]OUT_FinalEnergyCons!$A$4:$A$10000)))*1,[1]OUT_FinalEnergyCons!F$4:F$10000)</f>
        <v>0.43608757991867392</v>
      </c>
      <c r="I1845" s="1" cm="1">
        <f t="array" ref="I1845">SUMPRODUCT(([1]OUT_FinalEnergyCons!$B$4:$B$10000="var_cap")*1, (ISNUMBER(SEARCH("RH*-WHNGABR",[1]OUT_FinalEnergyCons!$A$4:$A$10000)))*1,[1]OUT_FinalEnergyCons!G$4:G$10000)</f>
        <v>0.43605828617183207</v>
      </c>
      <c r="J1845" s="1" cm="1">
        <f t="array" ref="J1845">SUMPRODUCT(([1]OUT_FinalEnergyCons!$B$4:$B$10000="var_cap")*1, (ISNUMBER(SEARCH("RH*-WHNGABR",[1]OUT_FinalEnergyCons!$A$4:$A$10000)))*1,[1]OUT_FinalEnergyCons!H$4:H$10000)</f>
        <v>0.10394793339213089</v>
      </c>
      <c r="K1845" s="1" cm="1">
        <f t="array" ref="K1845">SUMPRODUCT(([1]OUT_FinalEnergyCons!$B$4:$B$10000="var_cap")*1, (ISNUMBER(SEARCH("RH*-WHNGABR",[1]OUT_FinalEnergyCons!$A$4:$A$10000)))*1,[1]OUT_FinalEnergyCons!I$4:I$10000)</f>
        <v>5.8789431994176258E-2</v>
      </c>
    </row>
    <row r="1846" spans="2:11" x14ac:dyDescent="0.25">
      <c r="B1846" s="5" t="str">
        <f t="shared" si="1165"/>
        <v>SPS2</v>
      </c>
      <c r="C1846" s="5" t="str">
        <f t="shared" ref="B1846:C1846" si="1173">C1845</f>
        <v>CH</v>
      </c>
      <c r="D1846" t="s">
        <v>1888</v>
      </c>
      <c r="E1846" t="str">
        <f t="shared" si="1121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9.2270170636015737E-7</v>
      </c>
      <c r="H1846" s="1" cm="1">
        <f t="array" ref="H1846">SUMPRODUCT(([1]OUT_FinalEnergyCons!$B$4:$B$10000="var_cap")*1,ISNUMBER(SEARCH("RH*-WHngahp",[1]OUT_FinalEnergyCons!$A$4:$A$10000))*1,[1]OUT_FinalEnergyCons!F$4:F$10000)</f>
        <v>6.6988536128981646E-2</v>
      </c>
      <c r="I1846" s="1" cm="1">
        <f t="array" ref="I1846">SUMPRODUCT(([1]OUT_FinalEnergyCons!$B$4:$B$10000="var_cap")*1,ISNUMBER(SEARCH("RH*-WHngahp",[1]OUT_FinalEnergyCons!$A$4:$A$10000))*1,[1]OUT_FinalEnergyCons!G$4:G$10000)</f>
        <v>0.21643610595772378</v>
      </c>
      <c r="J1846" s="1" cm="1">
        <f t="array" ref="J1846">SUMPRODUCT(([1]OUT_FinalEnergyCons!$B$4:$B$10000="var_cap")*1,ISNUMBER(SEARCH("RH*-WHngahp",[1]OUT_FinalEnergyCons!$A$4:$A$10000))*1,[1]OUT_FinalEnergyCons!H$4:H$10000)</f>
        <v>0.40125279951982024</v>
      </c>
      <c r="K1846" s="1" cm="1">
        <f t="array" ref="K1846">SUMPRODUCT(([1]OUT_FinalEnergyCons!$B$4:$B$10000="var_cap")*1,ISNUMBER(SEARCH("RH*-WHngahp",[1]OUT_FinalEnergyCons!$A$4:$A$10000))*1,[1]OUT_FinalEnergyCons!I$4:I$10000)</f>
        <v>0.45453522574268634</v>
      </c>
    </row>
    <row r="1847" spans="2:11" x14ac:dyDescent="0.25">
      <c r="B1847" s="5" t="str">
        <f t="shared" si="1165"/>
        <v>SPS2</v>
      </c>
      <c r="C1847" s="5" t="str">
        <f t="shared" ref="B1847:C1847" si="1174">C1846</f>
        <v>CH</v>
      </c>
      <c r="D1847" t="s">
        <v>1889</v>
      </c>
      <c r="E1847" t="str">
        <f t="shared" si="1121"/>
        <v>GWth/yr.</v>
      </c>
      <c r="F1847" s="1">
        <f>F1848</f>
        <v>0</v>
      </c>
      <c r="G1847" s="1">
        <f t="shared" ref="G1847" si="1175">G1848</f>
        <v>0</v>
      </c>
      <c r="H1847" s="1">
        <f t="shared" ref="H1847" si="1176">H1848</f>
        <v>0</v>
      </c>
      <c r="I1847" s="1">
        <f t="shared" ref="I1847" si="1177">I1848</f>
        <v>0</v>
      </c>
      <c r="J1847" s="1">
        <f t="shared" ref="J1847" si="1178">J1848</f>
        <v>0</v>
      </c>
      <c r="K1847" s="1">
        <f t="shared" ref="K1847" si="1179">K1848</f>
        <v>0</v>
      </c>
    </row>
    <row r="1848" spans="2:11" x14ac:dyDescent="0.25">
      <c r="B1848" s="5" t="str">
        <f t="shared" si="1165"/>
        <v>SPS2</v>
      </c>
      <c r="C1848" s="5" t="str">
        <f t="shared" ref="B1848:C1848" si="1180">C1847</f>
        <v>CH</v>
      </c>
      <c r="D1848" t="s">
        <v>1890</v>
      </c>
      <c r="E1848" t="str">
        <f t="shared" si="1121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si="1165"/>
        <v>SPS2</v>
      </c>
      <c r="C1849" s="5" t="str">
        <f t="shared" ref="B1849:C1849" si="1181">C1848</f>
        <v>CH</v>
      </c>
      <c r="D1849" t="s">
        <v>1891</v>
      </c>
      <c r="E1849" t="str">
        <f t="shared" si="1121"/>
        <v>GWth/yr.</v>
      </c>
      <c r="F1849" s="1">
        <f>F1850</f>
        <v>3.5322010722483803E-2</v>
      </c>
      <c r="G1849" s="1">
        <f t="shared" ref="G1849" si="1182">G1850</f>
        <v>4.07036415512739E-2</v>
      </c>
      <c r="H1849" s="1">
        <f t="shared" ref="H1849" si="1183">H1850</f>
        <v>8.1019266985575017E-2</v>
      </c>
      <c r="I1849" s="1">
        <f t="shared" ref="I1849" si="1184">I1850</f>
        <v>9.0956276367873873E-2</v>
      </c>
      <c r="J1849" s="1">
        <f t="shared" ref="J1849" si="1185">J1850</f>
        <v>9.095089663006746E-2</v>
      </c>
      <c r="K1849" s="1">
        <f t="shared" ref="K1849" si="1186">K1850</f>
        <v>7.9677403656749607E-2</v>
      </c>
    </row>
    <row r="1850" spans="2:11" x14ac:dyDescent="0.25">
      <c r="B1850" s="5" t="str">
        <f t="shared" si="1165"/>
        <v>SPS2</v>
      </c>
      <c r="C1850" s="5" t="str">
        <f t="shared" ref="B1850:C1850" si="1187">C1849</f>
        <v>CH</v>
      </c>
      <c r="D1850" t="s">
        <v>1892</v>
      </c>
      <c r="E1850" t="str">
        <f t="shared" si="1121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4.07036415512739E-2</v>
      </c>
      <c r="H1850" s="1" cm="1">
        <f t="array" ref="H1850">SUMPRODUCT(([1]OUT_FinalEnergyCons!$B$4:$B$10000="var_cap")*1, (ISNUMBER(SEARCH("RH*-WHWODBR",[1]OUT_FinalEnergyCons!$A$4:$A$10000)))*1,[1]OUT_FinalEnergyCons!F$4:F$10000)</f>
        <v>8.1019266985575017E-2</v>
      </c>
      <c r="I1850" s="1" cm="1">
        <f t="array" ref="I1850">SUMPRODUCT(([1]OUT_FinalEnergyCons!$B$4:$B$10000="var_cap")*1, (ISNUMBER(SEARCH("RH*-WHWODBR",[1]OUT_FinalEnergyCons!$A$4:$A$10000)))*1,[1]OUT_FinalEnergyCons!G$4:G$10000)</f>
        <v>9.0956276367873873E-2</v>
      </c>
      <c r="J1850" s="1" cm="1">
        <f t="array" ref="J1850">SUMPRODUCT(([1]OUT_FinalEnergyCons!$B$4:$B$10000="var_cap")*1, (ISNUMBER(SEARCH("RH*-WHWODBR",[1]OUT_FinalEnergyCons!$A$4:$A$10000)))*1,[1]OUT_FinalEnergyCons!H$4:H$10000)</f>
        <v>9.095089663006746E-2</v>
      </c>
      <c r="K1850" s="1" cm="1">
        <f t="array" ref="K1850">SUMPRODUCT(([1]OUT_FinalEnergyCons!$B$4:$B$10000="var_cap")*1, (ISNUMBER(SEARCH("RH*-WHWODBR",[1]OUT_FinalEnergyCons!$A$4:$A$10000)))*1,[1]OUT_FinalEnergyCons!I$4:I$10000)</f>
        <v>7.9677403656749607E-2</v>
      </c>
    </row>
    <row r="1851" spans="2:11" x14ac:dyDescent="0.25">
      <c r="B1851" s="5" t="str">
        <f t="shared" si="1165"/>
        <v>SPS2</v>
      </c>
      <c r="C1851" s="5" t="str">
        <f t="shared" ref="B1851:C1851" si="1188">C1850</f>
        <v>CH</v>
      </c>
      <c r="D1851" t="s">
        <v>1893</v>
      </c>
      <c r="E1851" t="str">
        <f t="shared" si="1121"/>
        <v>GWth/yr.</v>
      </c>
      <c r="F1851" s="1">
        <f>F1852</f>
        <v>1.12410901121583E-2</v>
      </c>
      <c r="G1851" s="1">
        <f t="shared" ref="G1851" si="1189">G1852</f>
        <v>1.3196131920717542E-2</v>
      </c>
      <c r="H1851" s="1">
        <f t="shared" ref="H1851" si="1190">H1852</f>
        <v>1.1342054496175041E-2</v>
      </c>
      <c r="I1851" s="1">
        <f t="shared" ref="I1851" si="1191">I1852</f>
        <v>1.13422475214232E-2</v>
      </c>
      <c r="J1851" s="1">
        <f t="shared" ref="J1851" si="1192">J1852</f>
        <v>1.2564828987166139E-2</v>
      </c>
      <c r="K1851" s="1">
        <f t="shared" ref="K1851" si="1193">K1852</f>
        <v>1.3286964168227571E-2</v>
      </c>
    </row>
    <row r="1852" spans="2:11" x14ac:dyDescent="0.25">
      <c r="B1852" s="5" t="str">
        <f t="shared" si="1165"/>
        <v>SPS2</v>
      </c>
      <c r="C1852" s="5" t="str">
        <f t="shared" ref="B1852:C1852" si="1194">C1851</f>
        <v>CH</v>
      </c>
      <c r="D1852" t="s">
        <v>1894</v>
      </c>
      <c r="E1852" t="str">
        <f t="shared" si="1121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1.3196131920717542E-2</v>
      </c>
      <c r="H1852" s="1" cm="1">
        <f t="array" ref="H1852">SUMPRODUCT(([1]OUT_FinalEnergyCons!$B$4:$B$10000="var_cap")*1, (ISNUMBER(SEARCH("RH*-WHPLTBR",[1]OUT_FinalEnergyCons!$A$4:$A$10000)))*1,[1]OUT_FinalEnergyCons!F$4:F$10000)</f>
        <v>1.1342054496175041E-2</v>
      </c>
      <c r="I1852" s="1" cm="1">
        <f t="array" ref="I1852">SUMPRODUCT(([1]OUT_FinalEnergyCons!$B$4:$B$10000="var_cap")*1, (ISNUMBER(SEARCH("RH*-WHPLTBR",[1]OUT_FinalEnergyCons!$A$4:$A$10000)))*1,[1]OUT_FinalEnergyCons!G$4:G$10000)</f>
        <v>1.13422475214232E-2</v>
      </c>
      <c r="J1852" s="1" cm="1">
        <f t="array" ref="J1852">SUMPRODUCT(([1]OUT_FinalEnergyCons!$B$4:$B$10000="var_cap")*1, (ISNUMBER(SEARCH("RH*-WHPLTBR",[1]OUT_FinalEnergyCons!$A$4:$A$10000)))*1,[1]OUT_FinalEnergyCons!H$4:H$10000)</f>
        <v>1.2564828987166139E-2</v>
      </c>
      <c r="K1852" s="1" cm="1">
        <f t="array" ref="K1852">SUMPRODUCT(([1]OUT_FinalEnergyCons!$B$4:$B$10000="var_cap")*1, (ISNUMBER(SEARCH("RH*-WHPLTBR",[1]OUT_FinalEnergyCons!$A$4:$A$10000)))*1,[1]OUT_FinalEnergyCons!I$4:I$10000)</f>
        <v>1.3286964168227571E-2</v>
      </c>
    </row>
    <row r="1853" spans="2:11" x14ac:dyDescent="0.25">
      <c r="B1853" s="5" t="str">
        <f t="shared" si="1165"/>
        <v>SPS2</v>
      </c>
      <c r="C1853" s="5" t="str">
        <f t="shared" ref="B1853:C1853" si="1195">C1852</f>
        <v>CH</v>
      </c>
      <c r="D1853" t="s">
        <v>1895</v>
      </c>
      <c r="E1853" t="str">
        <f t="shared" si="1121"/>
        <v>GWth/yr.</v>
      </c>
      <c r="F1853" s="1">
        <f>F1854</f>
        <v>0.25000991745774798</v>
      </c>
      <c r="G1853" s="1">
        <f t="shared" ref="G1853" si="1196">G1854</f>
        <v>0.33249957105879463</v>
      </c>
      <c r="H1853" s="1">
        <f t="shared" ref="H1853" si="1197">H1854</f>
        <v>0.33249981236305032</v>
      </c>
      <c r="I1853" s="1">
        <f t="shared" ref="I1853" si="1198">I1854</f>
        <v>0.33250098725274851</v>
      </c>
      <c r="J1853" s="1">
        <f t="shared" ref="J1853" si="1199">J1854</f>
        <v>0.25786111196539696</v>
      </c>
      <c r="K1853" s="1">
        <f t="shared" ref="K1853" si="1200">K1854</f>
        <v>0.25689422548220769</v>
      </c>
    </row>
    <row r="1854" spans="2:11" x14ac:dyDescent="0.25">
      <c r="B1854" s="5" t="str">
        <f t="shared" si="1165"/>
        <v>SPS2</v>
      </c>
      <c r="C1854" s="5" t="str">
        <f t="shared" ref="B1854:C1854" si="1201">C1853</f>
        <v>CH</v>
      </c>
      <c r="D1854" t="s">
        <v>1896</v>
      </c>
      <c r="E1854" t="str">
        <f t="shared" si="1121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0.33249957105879463</v>
      </c>
      <c r="H1854" s="1" cm="1">
        <f t="array" ref="H1854">SUMPRODUCT(([1]OUT_FinalEnergyCons!$B$4:$B$10000="var_cap")*1, (ISNUMBER(SEARCH("RH*-WHSOLBR",[1]OUT_FinalEnergyCons!$A$4:$A$10000)))*1,[1]OUT_FinalEnergyCons!F$4:F$10000)</f>
        <v>0.33249981236305032</v>
      </c>
      <c r="I1854" s="1" cm="1">
        <f t="array" ref="I1854">SUMPRODUCT(([1]OUT_FinalEnergyCons!$B$4:$B$10000="var_cap")*1, (ISNUMBER(SEARCH("RH*-WHSOLBR",[1]OUT_FinalEnergyCons!$A$4:$A$10000)))*1,[1]OUT_FinalEnergyCons!G$4:G$10000)</f>
        <v>0.33250098725274851</v>
      </c>
      <c r="J1854" s="1" cm="1">
        <f t="array" ref="J1854">SUMPRODUCT(([1]OUT_FinalEnergyCons!$B$4:$B$10000="var_cap")*1, (ISNUMBER(SEARCH("RH*-WHSOLBR",[1]OUT_FinalEnergyCons!$A$4:$A$10000)))*1,[1]OUT_FinalEnergyCons!H$4:H$10000)</f>
        <v>0.25786111196539696</v>
      </c>
      <c r="K1854" s="1" cm="1">
        <f t="array" ref="K1854">SUMPRODUCT(([1]OUT_FinalEnergyCons!$B$4:$B$10000="var_cap")*1, (ISNUMBER(SEARCH("RH*-WHSOLBR",[1]OUT_FinalEnergyCons!$A$4:$A$10000)))*1,[1]OUT_FinalEnergyCons!I$4:I$10000)</f>
        <v>0.25689422548220769</v>
      </c>
    </row>
    <row r="1855" spans="2:11" x14ac:dyDescent="0.25">
      <c r="B1855" s="5" t="str">
        <f t="shared" si="1165"/>
        <v>SPS2</v>
      </c>
      <c r="C1855" s="5" t="str">
        <f t="shared" ref="B1855:C1855" si="1202">C1854</f>
        <v>CH</v>
      </c>
      <c r="D1855" t="s">
        <v>1897</v>
      </c>
      <c r="E1855" t="str">
        <f t="shared" si="1121"/>
        <v>GWth/yr.</v>
      </c>
      <c r="F1855" s="1">
        <f>F1856</f>
        <v>0</v>
      </c>
      <c r="G1855" s="1">
        <f t="shared" ref="G1855" si="1203">G1856</f>
        <v>0</v>
      </c>
      <c r="H1855" s="1">
        <f t="shared" ref="H1855" si="1204">H1856</f>
        <v>0</v>
      </c>
      <c r="I1855" s="1">
        <f t="shared" ref="I1855" si="1205">I1856</f>
        <v>0</v>
      </c>
      <c r="J1855" s="1">
        <f t="shared" ref="J1855" si="1206">J1856</f>
        <v>0</v>
      </c>
      <c r="K1855" s="1">
        <f t="shared" ref="K1855" si="1207">K1856</f>
        <v>0</v>
      </c>
    </row>
    <row r="1856" spans="2:11" x14ac:dyDescent="0.25">
      <c r="B1856" s="5" t="str">
        <f t="shared" si="1165"/>
        <v>SPS2</v>
      </c>
      <c r="C1856" s="5" t="str">
        <f t="shared" ref="B1856:C1860" si="1208">C1855</f>
        <v>CH</v>
      </c>
      <c r="D1856" t="s">
        <v>1898</v>
      </c>
      <c r="E1856" t="str">
        <f t="shared" si="1121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165"/>
        <v>SPS2</v>
      </c>
      <c r="C1857" s="9" t="str">
        <f t="shared" si="1208"/>
        <v>CH</v>
      </c>
      <c r="D1857" s="2" t="s">
        <v>1900</v>
      </c>
      <c r="E1857" s="9" t="str">
        <f t="shared" si="1121"/>
        <v>GWth/yr.</v>
      </c>
      <c r="F1857" s="17">
        <f>SUM(F1858,F1861,F1864,F1868,F1870,F1872,F1874,F1876,F1878)</f>
        <v>3.6004940699842098</v>
      </c>
      <c r="G1857" s="17">
        <f t="shared" ref="G1857:K1857" si="1209">SUM(G1858,G1861,G1864,G1868,G1870,G1872,G1874,G1876,G1878)</f>
        <v>3.590953745656924</v>
      </c>
      <c r="H1857" s="17">
        <f t="shared" si="1209"/>
        <v>3.541432977307271</v>
      </c>
      <c r="I1857" s="17">
        <f t="shared" si="1209"/>
        <v>4.5001124029489592</v>
      </c>
      <c r="J1857" s="17">
        <f t="shared" si="1209"/>
        <v>3.8154684418579823</v>
      </c>
      <c r="K1857" s="17">
        <f t="shared" si="1209"/>
        <v>3.39551385722068</v>
      </c>
    </row>
    <row r="1858" spans="2:11" x14ac:dyDescent="0.25">
      <c r="B1858" s="5" t="str">
        <f t="shared" si="1165"/>
        <v>SPS2</v>
      </c>
      <c r="C1858" s="5" t="str">
        <f t="shared" si="1208"/>
        <v>CH</v>
      </c>
      <c r="D1858" t="s">
        <v>2094</v>
      </c>
      <c r="E1858" t="str">
        <f t="shared" si="1121"/>
        <v>GWth/yr.</v>
      </c>
      <c r="F1858" s="18">
        <f>SUM(F1859:F1860)</f>
        <v>0.61671309762324311</v>
      </c>
      <c r="G1858" s="18">
        <f t="shared" ref="G1858:K1858" si="1210">SUM(G1859:G1860)</f>
        <v>0.75527381436369345</v>
      </c>
      <c r="H1858" s="18">
        <f t="shared" si="1210"/>
        <v>1.0009191469563361</v>
      </c>
      <c r="I1858" s="18">
        <f t="shared" si="1210"/>
        <v>1.2866756457988886</v>
      </c>
      <c r="J1858" s="18">
        <f t="shared" si="1210"/>
        <v>1.3912019796961692</v>
      </c>
      <c r="K1858" s="18">
        <f t="shared" si="1210"/>
        <v>1.5613985012351228</v>
      </c>
    </row>
    <row r="1859" spans="2:11" x14ac:dyDescent="0.25">
      <c r="B1859" s="5" t="str">
        <f t="shared" si="1165"/>
        <v>SPS2</v>
      </c>
      <c r="C1859" s="5" t="str">
        <f t="shared" si="1208"/>
        <v>CH</v>
      </c>
      <c r="D1859" t="s">
        <v>2095</v>
      </c>
      <c r="E1859" t="str">
        <f t="shared" si="1121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0.67892409299168721</v>
      </c>
      <c r="H1859" s="1" cm="1">
        <f t="array" ref="H1859">SUMPRODUCT(([1]OUT_FinalEnergyCons!$B$4:$B$10000="Var_cap")*1,  (ISNUMBER(SEARCH("ITOT-SWHELCBR",[1]OUT_FinalEnergyCons!$A$4:$A$10000)))*1,[1]OUT_FinalEnergyCons!F$4:F$10000)</f>
        <v>0.82967126285800419</v>
      </c>
      <c r="I1859" s="1" cm="1">
        <f t="array" ref="I1859">SUMPRODUCT(([1]OUT_FinalEnergyCons!$B$4:$B$10000="Var_cap")*1,  (ISNUMBER(SEARCH("ITOT-SWHELCBR",[1]OUT_FinalEnergyCons!$A$4:$A$10000)))*1,[1]OUT_FinalEnergyCons!G$4:G$10000)</f>
        <v>1.1139167277068194</v>
      </c>
      <c r="J1859" s="1" cm="1">
        <f t="array" ref="J1859">SUMPRODUCT(([1]OUT_FinalEnergyCons!$B$4:$B$10000="Var_cap")*1,  (ISNUMBER(SEARCH("ITOT-SWHELCBR",[1]OUT_FinalEnergyCons!$A$4:$A$10000)))*1,[1]OUT_FinalEnergyCons!H$4:H$10000)</f>
        <v>1.1151034363410224</v>
      </c>
      <c r="K1859" s="1" cm="1">
        <f t="array" ref="K1859">SUMPRODUCT(([1]OUT_FinalEnergyCons!$B$4:$B$10000="Var_cap")*1,  (ISNUMBER(SEARCH("ITOT-SWHELCBR",[1]OUT_FinalEnergyCons!$A$4:$A$10000)))*1,[1]OUT_FinalEnergyCons!I$4:I$10000)</f>
        <v>1.2215905273978007</v>
      </c>
    </row>
    <row r="1860" spans="2:11" x14ac:dyDescent="0.25">
      <c r="B1860" s="5" t="str">
        <f t="shared" si="1165"/>
        <v>SPS2</v>
      </c>
      <c r="C1860" s="5" t="str">
        <f t="shared" si="1208"/>
        <v>CH</v>
      </c>
      <c r="D1860" t="s">
        <v>2096</v>
      </c>
      <c r="E1860" t="str">
        <f t="shared" si="1121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7.6349721372006227E-2</v>
      </c>
      <c r="H1860" s="1" cm="1">
        <f t="array" ref="H1860">SUMPRODUCT(([1]OUT_FinalEnergyCons!$B$4:$B$10000="Var_cap")*1,  (ISNUMBER(SEARCH("ITOT-SWHELCHP",[1]OUT_FinalEnergyCons!$A$4:$A$10000)))*1,[1]OUT_FinalEnergyCons!F$4:F$10000)</f>
        <v>0.17124788409833203</v>
      </c>
      <c r="I1860" s="1" cm="1">
        <f t="array" ref="I1860">SUMPRODUCT(([1]OUT_FinalEnergyCons!$B$4:$B$10000="Var_cap")*1,  (ISNUMBER(SEARCH("ITOT-SWHELCHP",[1]OUT_FinalEnergyCons!$A$4:$A$10000)))*1,[1]OUT_FinalEnergyCons!G$4:G$10000)</f>
        <v>0.17275891809206931</v>
      </c>
      <c r="J1860" s="1" cm="1">
        <f t="array" ref="J1860">SUMPRODUCT(([1]OUT_FinalEnergyCons!$B$4:$B$10000="Var_cap")*1,  (ISNUMBER(SEARCH("ITOT-SWHELCHP",[1]OUT_FinalEnergyCons!$A$4:$A$10000)))*1,[1]OUT_FinalEnergyCons!H$4:H$10000)</f>
        <v>0.27609854335514689</v>
      </c>
      <c r="K1860" s="1" cm="1">
        <f t="array" ref="K1860">SUMPRODUCT(([1]OUT_FinalEnergyCons!$B$4:$B$10000="Var_cap")*1,  (ISNUMBER(SEARCH("ITOT-SWHELCHP",[1]OUT_FinalEnergyCons!$A$4:$A$10000)))*1,[1]OUT_FinalEnergyCons!I$4:I$10000)</f>
        <v>0.33980797383732214</v>
      </c>
    </row>
    <row r="1861" spans="2:11" x14ac:dyDescent="0.25">
      <c r="B1861" s="5" t="str">
        <f t="shared" si="1165"/>
        <v>SPS2</v>
      </c>
      <c r="C1861" s="5" t="str">
        <f>C1860</f>
        <v>CH</v>
      </c>
      <c r="D1861" t="s">
        <v>2097</v>
      </c>
      <c r="E1861" t="str">
        <f t="shared" si="1121"/>
        <v>GWth/yr.</v>
      </c>
      <c r="F1861" s="18">
        <f>SUM(F1862:F1863)</f>
        <v>0.47741476403484012</v>
      </c>
      <c r="G1861" s="18">
        <f t="shared" ref="G1861:K1861" si="1211">SUM(G1862:G1863)</f>
        <v>0.37648497123754032</v>
      </c>
      <c r="H1861" s="18">
        <f t="shared" si="1211"/>
        <v>0.37643439055798994</v>
      </c>
      <c r="I1861" s="18">
        <f t="shared" si="1211"/>
        <v>0.35549200476747911</v>
      </c>
      <c r="J1861" s="18">
        <f t="shared" si="1211"/>
        <v>0.1895562493550213</v>
      </c>
      <c r="K1861" s="18">
        <f t="shared" si="1211"/>
        <v>1.4621102768894993E-2</v>
      </c>
    </row>
    <row r="1862" spans="2:11" x14ac:dyDescent="0.25">
      <c r="B1862" s="5" t="str">
        <f t="shared" si="1165"/>
        <v>SPS2</v>
      </c>
      <c r="C1862" s="5" t="str">
        <f t="shared" ref="C1862:C1879" si="1212">C1861</f>
        <v>CH</v>
      </c>
      <c r="D1862" t="s">
        <v>2098</v>
      </c>
      <c r="E1862" t="str">
        <f t="shared" si="1121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0.37640152974597435</v>
      </c>
      <c r="H1862" s="1" cm="1">
        <f t="array" ref="H1862">SUMPRODUCT(([1]OUT_FinalEnergyCons!$B$4:$B$10000="Var_cap")*1,  (ISNUMBER(SEARCH("ITOT-SWHLFOBR",[1]OUT_FinalEnergyCons!$A$4:$A$10000)))*1,[1]OUT_FinalEnergyCons!F$4:F$10000)</f>
        <v>0.37633610941791962</v>
      </c>
      <c r="I1862" s="1" cm="1">
        <f t="array" ref="I1862">SUMPRODUCT(([1]OUT_FinalEnergyCons!$B$4:$B$10000="Var_cap")*1,  (ISNUMBER(SEARCH("ITOT-SWHLFOBR",[1]OUT_FinalEnergyCons!$A$4:$A$10000)))*1,[1]OUT_FinalEnergyCons!G$4:G$10000)</f>
        <v>0.35473465387527131</v>
      </c>
      <c r="J1862" s="1" cm="1">
        <f t="array" ref="J1862">SUMPRODUCT(([1]OUT_FinalEnergyCons!$B$4:$B$10000="Var_cap")*1,  (ISNUMBER(SEARCH("ITOT-SWHLFOBR",[1]OUT_FinalEnergyCons!$A$4:$A$10000)))*1,[1]OUT_FinalEnergyCons!H$4:H$10000)</f>
        <v>0.18945018457866503</v>
      </c>
      <c r="K1862" s="1" cm="1">
        <f t="array" ref="K1862">SUMPRODUCT(([1]OUT_FinalEnergyCons!$B$4:$B$10000="Var_cap")*1,  (ISNUMBER(SEARCH("ITOT-SWHLFOBR",[1]OUT_FinalEnergyCons!$A$4:$A$10000)))*1,[1]OUT_FinalEnergyCons!I$4:I$10000)</f>
        <v>1.46222448597359E-2</v>
      </c>
    </row>
    <row r="1863" spans="2:11" x14ac:dyDescent="0.25">
      <c r="B1863" s="5" t="str">
        <f t="shared" si="1165"/>
        <v>SPS2</v>
      </c>
      <c r="C1863" s="5" t="str">
        <f t="shared" si="1212"/>
        <v>CH</v>
      </c>
      <c r="D1863" t="s">
        <v>2099</v>
      </c>
      <c r="E1863" t="str">
        <f t="shared" si="1121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0.10107932440400813</v>
      </c>
      <c r="G1863" s="1" cm="1">
        <f t="array" ref="G1863">SUMPRODUCT(([1]OUT_FinalEnergyCons!$B$4:$B$10000="Var_cap")*1,  (ISNUMBER(SEARCH("ITOT-SWHHFOBR",[1]OUT_FinalEnergyCons!$A$4:$A$10000)))*1,[1]OUT_FinalEnergyCons!E$4:E$10000)</f>
        <v>8.3441491565972026E-5</v>
      </c>
      <c r="H1863" s="1" cm="1">
        <f t="array" ref="H1863">SUMPRODUCT(([1]OUT_FinalEnergyCons!$B$4:$B$10000="Var_cap")*1,  (ISNUMBER(SEARCH("ITOT-SWHHFOBR",[1]OUT_FinalEnergyCons!$A$4:$A$10000)))*1,[1]OUT_FinalEnergyCons!F$4:F$10000)</f>
        <v>9.8281140070335948E-5</v>
      </c>
      <c r="I1863" s="1" cm="1">
        <f t="array" ref="I1863">SUMPRODUCT(([1]OUT_FinalEnergyCons!$B$4:$B$10000="Var_cap")*1,  (ISNUMBER(SEARCH("ITOT-SWHHFOBR",[1]OUT_FinalEnergyCons!$A$4:$A$10000)))*1,[1]OUT_FinalEnergyCons!G$4:G$10000)</f>
        <v>7.5735089220779761E-4</v>
      </c>
      <c r="J1863" s="1" cm="1">
        <f t="array" ref="J1863">SUMPRODUCT(([1]OUT_FinalEnergyCons!$B$4:$B$10000="Var_cap")*1,  (ISNUMBER(SEARCH("ITOT-SWHHFOBR",[1]OUT_FinalEnergyCons!$A$4:$A$10000)))*1,[1]OUT_FinalEnergyCons!H$4:H$10000)</f>
        <v>1.06064776356271E-4</v>
      </c>
      <c r="K1863" s="1" cm="1">
        <f t="array" ref="K1863">SUMPRODUCT(([1]OUT_FinalEnergyCons!$B$4:$B$10000="Var_cap")*1,  (ISNUMBER(SEARCH("ITOT-SWHHFOBR",[1]OUT_FinalEnergyCons!$A$4:$A$10000)))*1,[1]OUT_FinalEnergyCons!I$4:I$10000)</f>
        <v>-1.1420908409070997E-6</v>
      </c>
    </row>
    <row r="1864" spans="2:11" x14ac:dyDescent="0.25">
      <c r="B1864" s="5" t="str">
        <f t="shared" si="1165"/>
        <v>SPS2</v>
      </c>
      <c r="C1864" s="5" t="str">
        <f t="shared" si="1212"/>
        <v>CH</v>
      </c>
      <c r="D1864" t="s">
        <v>2100</v>
      </c>
      <c r="E1864" t="str">
        <f t="shared" si="1121"/>
        <v>GWth/yr.</v>
      </c>
      <c r="F1864" s="18">
        <f>SUM(F1865:F1866)</f>
        <v>1.556581895256</v>
      </c>
      <c r="G1864" s="18">
        <f t="shared" ref="G1864:K1864" si="1213">SUM(G1865:G1866)</f>
        <v>1.5565574219272889</v>
      </c>
      <c r="H1864" s="18">
        <f t="shared" si="1213"/>
        <v>1.5565022396627355</v>
      </c>
      <c r="I1864" s="18">
        <f t="shared" si="1213"/>
        <v>0.5042669388807719</v>
      </c>
      <c r="J1864" s="18">
        <f t="shared" si="1213"/>
        <v>0.24360669781508265</v>
      </c>
      <c r="K1864" s="18">
        <f t="shared" si="1213"/>
        <v>4.7429037082476091E-4</v>
      </c>
    </row>
    <row r="1865" spans="2:11" x14ac:dyDescent="0.25">
      <c r="B1865" s="5" t="str">
        <f t="shared" si="1165"/>
        <v>SPS2</v>
      </c>
      <c r="C1865" s="5" t="str">
        <f t="shared" si="1212"/>
        <v>CH</v>
      </c>
      <c r="D1865" t="s">
        <v>2101</v>
      </c>
      <c r="E1865" t="str">
        <f t="shared" si="1121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1.5564196457613835</v>
      </c>
      <c r="H1865" s="1" cm="1">
        <f t="array" ref="H1865">SUMPRODUCT(([1]OUT_FinalEnergyCons!$B$4:$B$10000="Var_cap")*1,  (ISNUMBER(SEARCH("ITOT-SWHNGA*BR",[1]OUT_FinalEnergyCons!$A$4:$A$10000)))*1,[1]OUT_FinalEnergyCons!F$4:F$10000)</f>
        <v>1.5558029172256398</v>
      </c>
      <c r="I1865" s="1" cm="1">
        <f t="array" ref="I1865">SUMPRODUCT(([1]OUT_FinalEnergyCons!$B$4:$B$10000="Var_cap")*1,  (ISNUMBER(SEARCH("ITOT-SWHNGA*BR",[1]OUT_FinalEnergyCons!$A$4:$A$10000)))*1,[1]OUT_FinalEnergyCons!G$4:G$10000)</f>
        <v>0.50356098900412793</v>
      </c>
      <c r="J1865" s="1" cm="1">
        <f t="array" ref="J1865">SUMPRODUCT(([1]OUT_FinalEnergyCons!$B$4:$B$10000="Var_cap")*1,  (ISNUMBER(SEARCH("ITOT-SWHNGA*BR",[1]OUT_FinalEnergyCons!$A$4:$A$10000)))*1,[1]OUT_FinalEnergyCons!H$4:H$10000)</f>
        <v>0.24284408040556846</v>
      </c>
      <c r="K1865" s="1" cm="1">
        <f t="array" ref="K1865">SUMPRODUCT(([1]OUT_FinalEnergyCons!$B$4:$B$10000="Var_cap")*1,  (ISNUMBER(SEARCH("ITOT-SWHNGA*BR",[1]OUT_FinalEnergyCons!$A$4:$A$10000)))*1,[1]OUT_FinalEnergyCons!I$4:I$10000)</f>
        <v>9.7853243924000965E-5</v>
      </c>
    </row>
    <row r="1866" spans="2:11" x14ac:dyDescent="0.25">
      <c r="B1866" s="5" t="str">
        <f t="shared" si="1165"/>
        <v>SPS2</v>
      </c>
      <c r="C1866" s="5" t="str">
        <f t="shared" si="1212"/>
        <v>CH</v>
      </c>
      <c r="D1866" t="s">
        <v>2102</v>
      </c>
      <c r="E1866" t="str">
        <f t="shared" si="1121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1.37776165905333E-4</v>
      </c>
      <c r="H1866" s="1" cm="1">
        <f t="array" ref="H1866">SUMPRODUCT(([1]OUT_FinalEnergyCons!$B$4:$B$10000="Var_cap")*1,  (ISNUMBER(SEARCH("ITOT-SWHNGAHP",[1]OUT_FinalEnergyCons!$A$4:$A$10000)))*1,[1]OUT_FinalEnergyCons!F$4:F$10000)</f>
        <v>6.9932243709570647E-4</v>
      </c>
      <c r="I1866" s="1" cm="1">
        <f t="array" ref="I1866">SUMPRODUCT(([1]OUT_FinalEnergyCons!$B$4:$B$10000="Var_cap")*1,  (ISNUMBER(SEARCH("ITOT-SWHNGAHP",[1]OUT_FinalEnergyCons!$A$4:$A$10000)))*1,[1]OUT_FinalEnergyCons!G$4:G$10000)</f>
        <v>7.0594987664390979E-4</v>
      </c>
      <c r="J1866" s="1" cm="1">
        <f t="array" ref="J1866">SUMPRODUCT(([1]OUT_FinalEnergyCons!$B$4:$B$10000="Var_cap")*1,  (ISNUMBER(SEARCH("ITOT-SWHNGAHP",[1]OUT_FinalEnergyCons!$A$4:$A$10000)))*1,[1]OUT_FinalEnergyCons!H$4:H$10000)</f>
        <v>7.6261740951419409E-4</v>
      </c>
      <c r="K1866" s="1" cm="1">
        <f t="array" ref="K1866">SUMPRODUCT(([1]OUT_FinalEnergyCons!$B$4:$B$10000="Var_cap")*1,  (ISNUMBER(SEARCH("ITOT-SWHNGAHP",[1]OUT_FinalEnergyCons!$A$4:$A$10000)))*1,[1]OUT_FinalEnergyCons!I$4:I$10000)</f>
        <v>3.7643712690075995E-4</v>
      </c>
    </row>
    <row r="1867" spans="2:11" x14ac:dyDescent="0.25">
      <c r="B1867" s="5" t="str">
        <f t="shared" si="1165"/>
        <v>SPS2</v>
      </c>
      <c r="C1867" s="5" t="str">
        <f t="shared" si="1212"/>
        <v>CH</v>
      </c>
      <c r="D1867" t="s">
        <v>2103</v>
      </c>
      <c r="E1867" t="str">
        <f t="shared" si="1121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4.0147980018365885E-2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0.11276663423918333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0.11625319198105995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0.33766011568067489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0.30786384818304513</v>
      </c>
    </row>
    <row r="1868" spans="2:11" x14ac:dyDescent="0.25">
      <c r="B1868" s="5" t="str">
        <f t="shared" si="1165"/>
        <v>SPS2</v>
      </c>
      <c r="C1868" s="5" t="str">
        <f t="shared" si="1212"/>
        <v>CH</v>
      </c>
      <c r="D1868" t="s">
        <v>2104</v>
      </c>
      <c r="E1868" t="str">
        <f t="shared" si="1121"/>
        <v>GWth/yr.</v>
      </c>
      <c r="F1868" s="1">
        <f>F1869</f>
        <v>0.26172155007150499</v>
      </c>
      <c r="G1868" s="1">
        <f t="shared" ref="G1868:K1868" si="1214">G1869</f>
        <v>0.18675690567270004</v>
      </c>
      <c r="H1868" s="1">
        <f t="shared" si="1214"/>
        <v>1.6236828478471965E-4</v>
      </c>
      <c r="I1868" s="1">
        <f t="shared" si="1214"/>
        <v>0.11317826629102695</v>
      </c>
      <c r="J1868" s="1">
        <f t="shared" si="1214"/>
        <v>8.4676348999404571E-5</v>
      </c>
      <c r="K1868" s="1">
        <f t="shared" si="1214"/>
        <v>5.1973788983500845E-8</v>
      </c>
    </row>
    <row r="1869" spans="2:11" x14ac:dyDescent="0.25">
      <c r="B1869" s="5" t="str">
        <f t="shared" si="1165"/>
        <v>SPS2</v>
      </c>
      <c r="C1869" s="5" t="str">
        <f t="shared" si="1212"/>
        <v>CH</v>
      </c>
      <c r="D1869" t="s">
        <v>2105</v>
      </c>
      <c r="E1869" t="str">
        <f t="shared" si="1121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0.18675690567270004</v>
      </c>
      <c r="H1869" s="1" cm="1">
        <f t="array" ref="H1869">SUMPRODUCT(([1]OUT_FinalEnergyCons!$B$4:$B$10000="Var_cap")*1,  (ISNUMBER(SEARCH("ITOT-SWHCOA*BR",[1]OUT_FinalEnergyCons!$A$4:$A$10000)))*1,[1]OUT_FinalEnergyCons!F$4:F$10000)</f>
        <v>1.6236828478471965E-4</v>
      </c>
      <c r="I1869" s="1" cm="1">
        <f t="array" ref="I1869">SUMPRODUCT(([1]OUT_FinalEnergyCons!$B$4:$B$10000="Var_cap")*1,  (ISNUMBER(SEARCH("ITOT-SWHCOA*BR",[1]OUT_FinalEnergyCons!$A$4:$A$10000)))*1,[1]OUT_FinalEnergyCons!G$4:G$10000)</f>
        <v>0.11317826629102695</v>
      </c>
      <c r="J1869" s="1" cm="1">
        <f t="array" ref="J1869">SUMPRODUCT(([1]OUT_FinalEnergyCons!$B$4:$B$10000="Var_cap")*1,  (ISNUMBER(SEARCH("ITOT-SWHCOA*BR",[1]OUT_FinalEnergyCons!$A$4:$A$10000)))*1,[1]OUT_FinalEnergyCons!H$4:H$10000)</f>
        <v>8.4676348999404571E-5</v>
      </c>
      <c r="K1869" s="1" cm="1">
        <f t="array" ref="K1869">SUMPRODUCT(([1]OUT_FinalEnergyCons!$B$4:$B$10000="Var_cap")*1,  (ISNUMBER(SEARCH("ITOT-SWHCOA*BR",[1]OUT_FinalEnergyCons!$A$4:$A$10000)))*1,[1]OUT_FinalEnergyCons!I$4:I$10000)</f>
        <v>5.1973788983500845E-8</v>
      </c>
    </row>
    <row r="1870" spans="2:11" x14ac:dyDescent="0.25">
      <c r="B1870" s="5" t="str">
        <f t="shared" si="1165"/>
        <v>SPS2</v>
      </c>
      <c r="C1870" s="5" t="str">
        <f t="shared" si="1212"/>
        <v>CH</v>
      </c>
      <c r="D1870" t="s">
        <v>2106</v>
      </c>
      <c r="E1870" t="str">
        <f t="shared" si="1121"/>
        <v>GWth/yr.</v>
      </c>
      <c r="F1870" s="1">
        <f>F1871</f>
        <v>0.28883369534761499</v>
      </c>
      <c r="G1870" s="1">
        <f t="shared" ref="G1870:K1870" si="1215">G1871</f>
        <v>0.34115969122063333</v>
      </c>
      <c r="H1870" s="1">
        <f t="shared" si="1215"/>
        <v>0.34112698127937158</v>
      </c>
      <c r="I1870" s="1">
        <f t="shared" si="1215"/>
        <v>0.3411237117737036</v>
      </c>
      <c r="J1870" s="1">
        <f t="shared" si="1215"/>
        <v>0.51434370695831488</v>
      </c>
      <c r="K1870" s="1">
        <f t="shared" si="1215"/>
        <v>0.39862287280798187</v>
      </c>
    </row>
    <row r="1871" spans="2:11" x14ac:dyDescent="0.25">
      <c r="B1871" s="5" t="str">
        <f t="shared" si="1165"/>
        <v>SPS2</v>
      </c>
      <c r="C1871" s="5" t="str">
        <f t="shared" si="1212"/>
        <v>CH</v>
      </c>
      <c r="D1871" t="s">
        <v>2107</v>
      </c>
      <c r="E1871" t="str">
        <f t="shared" si="1121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0.34115969122063333</v>
      </c>
      <c r="H1871" s="1" cm="1">
        <f t="array" ref="H1871">SUMPRODUCT(([1]OUT_FinalEnergyCons!$B$4:$B$10000="Var_cap")*1,  (ISNUMBER(SEARCH("ITOT-SWHWOD*BR",[1]OUT_FinalEnergyCons!$A$4:$A$10000)))*1,[1]OUT_FinalEnergyCons!F$4:F$10000)</f>
        <v>0.34112698127937158</v>
      </c>
      <c r="I1871" s="1" cm="1">
        <f t="array" ref="I1871">SUMPRODUCT(([1]OUT_FinalEnergyCons!$B$4:$B$10000="Var_cap")*1,  (ISNUMBER(SEARCH("ITOT-SWHWOD*BR",[1]OUT_FinalEnergyCons!$A$4:$A$10000)))*1,[1]OUT_FinalEnergyCons!G$4:G$10000)</f>
        <v>0.3411237117737036</v>
      </c>
      <c r="J1871" s="1" cm="1">
        <f t="array" ref="J1871">SUMPRODUCT(([1]OUT_FinalEnergyCons!$B$4:$B$10000="Var_cap")*1,  (ISNUMBER(SEARCH("ITOT-SWHWOD*BR",[1]OUT_FinalEnergyCons!$A$4:$A$10000)))*1,[1]OUT_FinalEnergyCons!H$4:H$10000)</f>
        <v>0.51434370695831488</v>
      </c>
      <c r="K1871" s="1" cm="1">
        <f t="array" ref="K1871">SUMPRODUCT(([1]OUT_FinalEnergyCons!$B$4:$B$10000="Var_cap")*1,  (ISNUMBER(SEARCH("ITOT-SWHWOD*BR",[1]OUT_FinalEnergyCons!$A$4:$A$10000)))*1,[1]OUT_FinalEnergyCons!I$4:I$10000)</f>
        <v>0.39862287280798187</v>
      </c>
    </row>
    <row r="1872" spans="2:11" x14ac:dyDescent="0.25">
      <c r="B1872" s="5" t="str">
        <f t="shared" si="1165"/>
        <v>SPS2</v>
      </c>
      <c r="C1872" s="5" t="str">
        <f t="shared" si="1212"/>
        <v>CH</v>
      </c>
      <c r="D1872" t="s">
        <v>2108</v>
      </c>
      <c r="E1872" t="str">
        <f t="shared" si="1121"/>
        <v>GWth/yr.</v>
      </c>
      <c r="F1872" s="1">
        <f>F1873</f>
        <v>2.9860759506449799E-2</v>
      </c>
      <c r="G1872" s="1">
        <f t="shared" ref="G1872:K1872" si="1216">G1873</f>
        <v>3.8011848725880842E-2</v>
      </c>
      <c r="H1872" s="1">
        <f t="shared" si="1216"/>
        <v>3.7853484782056523E-2</v>
      </c>
      <c r="I1872" s="1">
        <f t="shared" si="1216"/>
        <v>3.7811002037872722E-2</v>
      </c>
      <c r="J1872" s="1">
        <f t="shared" si="1216"/>
        <v>4.4959721747981247E-2</v>
      </c>
      <c r="K1872" s="1">
        <f t="shared" si="1216"/>
        <v>4.3798331554985144E-2</v>
      </c>
    </row>
    <row r="1873" spans="2:11" x14ac:dyDescent="0.25">
      <c r="B1873" s="5" t="str">
        <f t="shared" si="1165"/>
        <v>SPS2</v>
      </c>
      <c r="C1873" s="5" t="str">
        <f t="shared" si="1212"/>
        <v>CH</v>
      </c>
      <c r="D1873" t="s">
        <v>2109</v>
      </c>
      <c r="E1873" t="str">
        <f t="shared" si="1121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3.8011848725880842E-2</v>
      </c>
      <c r="H1873" s="1" cm="1">
        <f t="array" ref="H1873">SUMPRODUCT(([1]OUT_FinalEnergyCons!$B$4:$B$10000="Var_cap")*1,  (ISNUMBER(SEARCH("ITOT-SWHPLT*BR",[1]OUT_FinalEnergyCons!$A$4:$A$10000)))*1,[1]OUT_FinalEnergyCons!F$4:F$10000)</f>
        <v>3.7853484782056523E-2</v>
      </c>
      <c r="I1873" s="1" cm="1">
        <f t="array" ref="I1873">SUMPRODUCT(([1]OUT_FinalEnergyCons!$B$4:$B$10000="Var_cap")*1,  (ISNUMBER(SEARCH("ITOT-SWHPLT*BR",[1]OUT_FinalEnergyCons!$A$4:$A$10000)))*1,[1]OUT_FinalEnergyCons!G$4:G$10000)</f>
        <v>3.7811002037872722E-2</v>
      </c>
      <c r="J1873" s="1" cm="1">
        <f t="array" ref="J1873">SUMPRODUCT(([1]OUT_FinalEnergyCons!$B$4:$B$10000="Var_cap")*1,  (ISNUMBER(SEARCH("ITOT-SWHPLT*BR",[1]OUT_FinalEnergyCons!$A$4:$A$10000)))*1,[1]OUT_FinalEnergyCons!H$4:H$10000)</f>
        <v>4.4959721747981247E-2</v>
      </c>
      <c r="K1873" s="1" cm="1">
        <f t="array" ref="K1873">SUMPRODUCT(([1]OUT_FinalEnergyCons!$B$4:$B$10000="Var_cap")*1,  (ISNUMBER(SEARCH("ITOT-SWHPLT*BR",[1]OUT_FinalEnergyCons!$A$4:$A$10000)))*1,[1]OUT_FinalEnergyCons!I$4:I$10000)</f>
        <v>4.3798331554985144E-2</v>
      </c>
    </row>
    <row r="1874" spans="2:11" x14ac:dyDescent="0.25">
      <c r="B1874" s="5" t="str">
        <f t="shared" si="1165"/>
        <v>SPS2</v>
      </c>
      <c r="C1874" s="5" t="str">
        <f t="shared" si="1212"/>
        <v>CH</v>
      </c>
      <c r="D1874" t="s">
        <v>2110</v>
      </c>
      <c r="E1874" t="str">
        <f t="shared" si="1121"/>
        <v>GWth/yr.</v>
      </c>
      <c r="F1874" s="1">
        <f>F1875</f>
        <v>0.35954682816669398</v>
      </c>
      <c r="G1874" s="1">
        <f t="shared" ref="G1874:K1874" si="1217">G1875</f>
        <v>0.3212918126637907</v>
      </c>
      <c r="H1874" s="1">
        <f t="shared" si="1217"/>
        <v>0.2130170434824229</v>
      </c>
      <c r="I1874" s="1">
        <f t="shared" si="1217"/>
        <v>0.20130955597661176</v>
      </c>
      <c r="J1874" s="1">
        <f t="shared" si="1217"/>
        <v>0.18150576061004936</v>
      </c>
      <c r="K1874" s="1">
        <f t="shared" si="1217"/>
        <v>1.3716421052897831E-5</v>
      </c>
    </row>
    <row r="1875" spans="2:11" x14ac:dyDescent="0.25">
      <c r="B1875" s="5" t="str">
        <f t="shared" si="1165"/>
        <v>SPS2</v>
      </c>
      <c r="C1875" s="5" t="str">
        <f t="shared" si="1212"/>
        <v>CH</v>
      </c>
      <c r="D1875" t="s">
        <v>2111</v>
      </c>
      <c r="E1875" t="str">
        <f t="shared" si="1121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0.3212918126637907</v>
      </c>
      <c r="H1875" s="1" cm="1">
        <f t="array" ref="H1875">SUMPRODUCT(([1]OUT_FinalEnergyCons!$B$4:$B$10000="Var_cap")*1,  (ISNUMBER(SEARCH("ITOT-SWHWST*BR",[1]OUT_FinalEnergyCons!$A$4:$A$10000)))*1,[1]OUT_FinalEnergyCons!F$4:F$10000)</f>
        <v>0.2130170434824229</v>
      </c>
      <c r="I1875" s="1" cm="1">
        <f t="array" ref="I1875">SUMPRODUCT(([1]OUT_FinalEnergyCons!$B$4:$B$10000="Var_cap")*1,  (ISNUMBER(SEARCH("ITOT-SWHWST*BR",[1]OUT_FinalEnergyCons!$A$4:$A$10000)))*1,[1]OUT_FinalEnergyCons!G$4:G$10000)</f>
        <v>0.20130955597661176</v>
      </c>
      <c r="J1875" s="1" cm="1">
        <f t="array" ref="J1875">SUMPRODUCT(([1]OUT_FinalEnergyCons!$B$4:$B$10000="Var_cap")*1,  (ISNUMBER(SEARCH("ITOT-SWHWST*BR",[1]OUT_FinalEnergyCons!$A$4:$A$10000)))*1,[1]OUT_FinalEnergyCons!H$4:H$10000)</f>
        <v>0.18150576061004936</v>
      </c>
      <c r="K1875" s="1" cm="1">
        <f t="array" ref="K1875">SUMPRODUCT(([1]OUT_FinalEnergyCons!$B$4:$B$10000="Var_cap")*1,  (ISNUMBER(SEARCH("ITOT-SWHWST*BR",[1]OUT_FinalEnergyCons!$A$4:$A$10000)))*1,[1]OUT_FinalEnergyCons!I$4:I$10000)</f>
        <v>1.3716421052897831E-5</v>
      </c>
    </row>
    <row r="1876" spans="2:11" x14ac:dyDescent="0.25">
      <c r="B1876" s="5" t="str">
        <f t="shared" si="1165"/>
        <v>SPS2</v>
      </c>
      <c r="C1876" s="5" t="str">
        <f t="shared" si="1212"/>
        <v>CH</v>
      </c>
      <c r="D1876" t="s">
        <v>2112</v>
      </c>
      <c r="E1876" t="str">
        <f t="shared" si="1121"/>
        <v>GWth/yr.</v>
      </c>
      <c r="F1876" s="1">
        <f>F1877</f>
        <v>9.8214799778629808E-3</v>
      </c>
      <c r="G1876" s="1">
        <f t="shared" ref="G1876:K1876" si="1218">G1877</f>
        <v>1.541727984539637E-2</v>
      </c>
      <c r="H1876" s="1">
        <f t="shared" si="1218"/>
        <v>1.54173223015736E-2</v>
      </c>
      <c r="I1876" s="1">
        <f t="shared" si="1218"/>
        <v>1.541738508983558E-2</v>
      </c>
      <c r="J1876" s="1">
        <f t="shared" si="1218"/>
        <v>1.54170509018745E-2</v>
      </c>
      <c r="K1876" s="1">
        <f t="shared" si="1218"/>
        <v>1.5416297334267399E-2</v>
      </c>
    </row>
    <row r="1877" spans="2:11" x14ac:dyDescent="0.25">
      <c r="B1877" s="5" t="str">
        <f t="shared" si="1165"/>
        <v>SPS2</v>
      </c>
      <c r="C1877" s="5" t="str">
        <f t="shared" si="1212"/>
        <v>CH</v>
      </c>
      <c r="D1877" t="s">
        <v>2113</v>
      </c>
      <c r="E1877" t="str">
        <f t="shared" si="1121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1.541727984539637E-2</v>
      </c>
      <c r="H1877" s="1" cm="1">
        <f t="array" ref="H1877">SUMPRODUCT(([1]OUT_FinalEnergyCons!$B$4:$B$10000="Var_cap")*1, (ISNUMBER(SEARCH("ITOT-SWHSOLBR",[1]OUT_FinalEnergyCons!$A$4:$A$10000)))*1,[1]OUT_FinalEnergyCons!F$4:F$10000)</f>
        <v>1.54173223015736E-2</v>
      </c>
      <c r="I1877" s="1" cm="1">
        <f t="array" ref="I1877">SUMPRODUCT(([1]OUT_FinalEnergyCons!$B$4:$B$10000="Var_cap")*1, (ISNUMBER(SEARCH("ITOT-SWHSOLBR",[1]OUT_FinalEnergyCons!$A$4:$A$10000)))*1,[1]OUT_FinalEnergyCons!G$4:G$10000)</f>
        <v>1.541738508983558E-2</v>
      </c>
      <c r="J1877" s="1" cm="1">
        <f t="array" ref="J1877">SUMPRODUCT(([1]OUT_FinalEnergyCons!$B$4:$B$10000="Var_cap")*1, (ISNUMBER(SEARCH("ITOT-SWHSOLBR",[1]OUT_FinalEnergyCons!$A$4:$A$10000)))*1,[1]OUT_FinalEnergyCons!H$4:H$10000)</f>
        <v>1.54170509018745E-2</v>
      </c>
      <c r="K1877" s="1" cm="1">
        <f t="array" ref="K1877">SUMPRODUCT(([1]OUT_FinalEnergyCons!$B$4:$B$10000="Var_cap")*1, (ISNUMBER(SEARCH("ITOT-SWHSOLBR",[1]OUT_FinalEnergyCons!$A$4:$A$10000)))*1,[1]OUT_FinalEnergyCons!I$4:I$10000)</f>
        <v>1.5416297334267399E-2</v>
      </c>
    </row>
    <row r="1878" spans="2:11" x14ac:dyDescent="0.25">
      <c r="B1878" s="5" t="str">
        <f t="shared" si="1165"/>
        <v>SPS2</v>
      </c>
      <c r="C1878" s="5" t="str">
        <f t="shared" si="1212"/>
        <v>CH</v>
      </c>
      <c r="D1878" t="s">
        <v>2114</v>
      </c>
      <c r="E1878" t="str">
        <f t="shared" si="1121"/>
        <v>GWth/yr.</v>
      </c>
      <c r="F1878" s="1">
        <f>F1879</f>
        <v>0</v>
      </c>
      <c r="G1878" s="1">
        <f t="shared" ref="G1878:K1878" si="1219">G1879</f>
        <v>0</v>
      </c>
      <c r="H1878" s="1">
        <f t="shared" si="1219"/>
        <v>0</v>
      </c>
      <c r="I1878" s="1">
        <f t="shared" si="1219"/>
        <v>1.64483789233277</v>
      </c>
      <c r="J1878" s="1">
        <f t="shared" si="1219"/>
        <v>1.2347925984244899</v>
      </c>
      <c r="K1878" s="1">
        <f t="shared" si="1219"/>
        <v>1.3611686927537612</v>
      </c>
    </row>
    <row r="1879" spans="2:11" x14ac:dyDescent="0.25">
      <c r="B1879" s="5" t="str">
        <f t="shared" si="1165"/>
        <v>SPS2</v>
      </c>
      <c r="C1879" s="5" t="str">
        <f t="shared" si="1212"/>
        <v>CH</v>
      </c>
      <c r="D1879" t="s">
        <v>2115</v>
      </c>
      <c r="E1879" t="str">
        <f t="shared" si="1121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1.64483789233277</v>
      </c>
      <c r="J1879" s="1" cm="1">
        <f t="array" ref="J1879">SUMPRODUCT(([1]OUT_FinalEnergyCons!$B$4:$B$10000="Var_cap")*1, (ISNUMBER(SEARCH("ITOT-SWHH2BR",[1]OUT_FinalEnergyCons!$A$4:$A$10000)))*1,[1]OUT_FinalEnergyCons!H$4:H$10000)</f>
        <v>1.2347925984244899</v>
      </c>
      <c r="K1879" s="1" cm="1">
        <f t="array" ref="K1879">SUMPRODUCT(([1]OUT_FinalEnergyCons!$B$4:$B$10000="Var_cap")*1, (ISNUMBER(SEARCH("ITOT-SWHH2BR",[1]OUT_FinalEnergyCons!$A$4:$A$10000)))*1,[1]OUT_FinalEnergyCons!I$4:I$10000)</f>
        <v>1.3611686927537612</v>
      </c>
    </row>
    <row r="1880" spans="2:11" x14ac:dyDescent="0.25">
      <c r="B1880" s="9" t="str">
        <f t="shared" si="1165"/>
        <v>SPS2</v>
      </c>
      <c r="C1880" s="9" t="str">
        <f>C1808</f>
        <v>CH</v>
      </c>
      <c r="D1880" s="2" t="s">
        <v>1901</v>
      </c>
      <c r="E1880" s="9" t="str">
        <f t="shared" si="1121"/>
        <v>GWth/yr.</v>
      </c>
      <c r="F1880" s="17">
        <f>SUM(F1881,F1884,F1886,F1890,F1892,F1894,F1896)</f>
        <v>6.1444174335837456</v>
      </c>
      <c r="G1880" s="17">
        <f t="shared" ref="G1880:K1880" si="1220">SUM(G1881,G1884,G1886,G1890,G1892,G1894,G1896)</f>
        <v>5.8086904385003058</v>
      </c>
      <c r="H1880" s="17">
        <f t="shared" si="1220"/>
        <v>5.4360197225213325</v>
      </c>
      <c r="I1880" s="17">
        <f t="shared" si="1220"/>
        <v>5.9043626691223121</v>
      </c>
      <c r="J1880" s="17">
        <f t="shared" si="1220"/>
        <v>4.5513044698938874</v>
      </c>
      <c r="K1880" s="17">
        <f t="shared" si="1220"/>
        <v>4.1676210599528591</v>
      </c>
    </row>
    <row r="1881" spans="2:11" x14ac:dyDescent="0.25">
      <c r="B1881" s="5" t="str">
        <f t="shared" si="1165"/>
        <v>SPS2</v>
      </c>
      <c r="C1881" s="5" t="str">
        <f>C1880</f>
        <v>CH</v>
      </c>
      <c r="D1881" t="s">
        <v>1902</v>
      </c>
      <c r="E1881" t="str">
        <f t="shared" si="1121"/>
        <v>GWth/yr.</v>
      </c>
      <c r="F1881" s="1">
        <f>SUM(F1882:F1883)</f>
        <v>0.61560835982981466</v>
      </c>
      <c r="G1881" s="1">
        <f t="shared" ref="G1881:K1881" si="1221">SUM(G1882:G1883)</f>
        <v>0.43096228772714362</v>
      </c>
      <c r="H1881" s="1">
        <f t="shared" si="1221"/>
        <v>0.46921419907455575</v>
      </c>
      <c r="I1881" s="1">
        <f t="shared" si="1221"/>
        <v>0.60695155656316579</v>
      </c>
      <c r="J1881" s="1">
        <f t="shared" si="1221"/>
        <v>1.1825162209564595</v>
      </c>
      <c r="K1881" s="1">
        <f t="shared" si="1221"/>
        <v>1.3957343620930864</v>
      </c>
    </row>
    <row r="1882" spans="2:11" x14ac:dyDescent="0.25">
      <c r="B1882" s="5" t="str">
        <f t="shared" si="1165"/>
        <v>SPS2</v>
      </c>
      <c r="C1882" s="5" t="str">
        <f>C1881</f>
        <v>CH</v>
      </c>
      <c r="D1882" t="s">
        <v>1903</v>
      </c>
      <c r="E1882" t="str">
        <f t="shared" si="1121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0.18499061526629371</v>
      </c>
      <c r="G1882" s="1" cm="1">
        <f t="array" ref="G1882">SUMPRODUCT(([1]OUT_FinalEnergyCons!$B$4:$B$10000="Var_cap")*1, (ISNUMBER(SEARCH("SCOM-SHELCBR",[1]OUT_FinalEnergyCons!$A$4:$A$10000)))*1,[1]OUT_FinalEnergyCons!E$4:E$10000)</f>
        <v>3.440902409363733E-4</v>
      </c>
      <c r="H1882" s="1" cm="1">
        <f t="array" ref="H1882">SUMPRODUCT(([1]OUT_FinalEnergyCons!$B$4:$B$10000="Var_cap")*1, (ISNUMBER(SEARCH("SCOM-SHELCBR",[1]OUT_FinalEnergyCons!$A$4:$A$10000)))*1,[1]OUT_FinalEnergyCons!F$4:F$10000)</f>
        <v>3.8594745758437327E-2</v>
      </c>
      <c r="I1882" s="1" cm="1">
        <f t="array" ref="I1882">SUMPRODUCT(([1]OUT_FinalEnergyCons!$B$4:$B$10000="Var_cap")*1, (ISNUMBER(SEARCH("SCOM-SHELCBR",[1]OUT_FinalEnergyCons!$A$4:$A$10000)))*1,[1]OUT_FinalEnergyCons!G$4:G$10000)</f>
        <v>3.858620817118022E-2</v>
      </c>
      <c r="J1882" s="1" cm="1">
        <f t="array" ref="J1882">SUMPRODUCT(([1]OUT_FinalEnergyCons!$B$4:$B$10000="Var_cap")*1, (ISNUMBER(SEARCH("SCOM-SHELCBR",[1]OUT_FinalEnergyCons!$A$4:$A$10000)))*1,[1]OUT_FinalEnergyCons!H$4:H$10000)</f>
        <v>2.5421539120946159E-2</v>
      </c>
      <c r="K1882" s="1" cm="1">
        <f t="array" ref="K1882">SUMPRODUCT(([1]OUT_FinalEnergyCons!$B$4:$B$10000="Var_cap")*1, (ISNUMBER(SEARCH("SCOM-SHELCBR",[1]OUT_FinalEnergyCons!$A$4:$A$10000)))*1,[1]OUT_FinalEnergyCons!I$4:I$10000)</f>
        <v>1.8791960417318954E-2</v>
      </c>
    </row>
    <row r="1883" spans="2:11" x14ac:dyDescent="0.25">
      <c r="B1883" s="5" t="str">
        <f t="shared" si="1165"/>
        <v>SPS2</v>
      </c>
      <c r="C1883" s="5" t="str">
        <f t="shared" ref="B1883:C1883" si="1222">C1882</f>
        <v>CH</v>
      </c>
      <c r="D1883" t="s">
        <v>1904</v>
      </c>
      <c r="E1883" t="str">
        <f t="shared" si="1121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0.43061774456352098</v>
      </c>
      <c r="G1883" s="1" cm="1">
        <f t="array" ref="G1883">SUMPRODUCT(([1]OUT_FinalEnergyCons!$B$4:$B$10000="Var_cap")*1, (ISNUMBER(SEARCH("SCOM-SHELCHP",[1]OUT_FinalEnergyCons!$A$4:$A$10000)))*1,[1]OUT_FinalEnergyCons!E$4:E$10000)</f>
        <v>0.43061819748620728</v>
      </c>
      <c r="H1883" s="1" cm="1">
        <f t="array" ref="H1883">SUMPRODUCT(([1]OUT_FinalEnergyCons!$B$4:$B$10000="Var_cap")*1, (ISNUMBER(SEARCH("SCOM-SHELCHP",[1]OUT_FinalEnergyCons!$A$4:$A$10000)))*1,[1]OUT_FinalEnergyCons!F$4:F$10000)</f>
        <v>0.43061945331611839</v>
      </c>
      <c r="I1883" s="1" cm="1">
        <f t="array" ref="I1883">SUMPRODUCT(([1]OUT_FinalEnergyCons!$B$4:$B$10000="Var_cap")*1, (ISNUMBER(SEARCH("SCOM-SHELCHP",[1]OUT_FinalEnergyCons!$A$4:$A$10000)))*1,[1]OUT_FinalEnergyCons!G$4:G$10000)</f>
        <v>0.5683653483919856</v>
      </c>
      <c r="J1883" s="1" cm="1">
        <f t="array" ref="J1883">SUMPRODUCT(([1]OUT_FinalEnergyCons!$B$4:$B$10000="Var_cap")*1, (ISNUMBER(SEARCH("SCOM-SHELCHP",[1]OUT_FinalEnergyCons!$A$4:$A$10000)))*1,[1]OUT_FinalEnergyCons!H$4:H$10000)</f>
        <v>1.1570946818355132</v>
      </c>
      <c r="K1883" s="1" cm="1">
        <f t="array" ref="K1883">SUMPRODUCT(([1]OUT_FinalEnergyCons!$B$4:$B$10000="Var_cap")*1, (ISNUMBER(SEARCH("SCOM-SHELCHP",[1]OUT_FinalEnergyCons!$A$4:$A$10000)))*1,[1]OUT_FinalEnergyCons!I$4:I$10000)</f>
        <v>1.3769424016757674</v>
      </c>
    </row>
    <row r="1884" spans="2:11" x14ac:dyDescent="0.25">
      <c r="B1884" s="5" t="str">
        <f t="shared" si="1165"/>
        <v>SPS2</v>
      </c>
      <c r="C1884" s="5" t="str">
        <f t="shared" ref="B1884:C1884" si="1223">C1883</f>
        <v>CH</v>
      </c>
      <c r="D1884" t="s">
        <v>1905</v>
      </c>
      <c r="E1884" t="str">
        <f t="shared" si="1121"/>
        <v>GWth/yr.</v>
      </c>
      <c r="F1884" s="1">
        <f>F1885</f>
        <v>1.9285746836313034</v>
      </c>
      <c r="G1884" s="1">
        <f t="shared" ref="G1884:K1884" si="1224">G1885</f>
        <v>1.7486850928395665</v>
      </c>
      <c r="H1884" s="1">
        <f t="shared" si="1224"/>
        <v>1.5476337421694479</v>
      </c>
      <c r="I1884" s="1">
        <f t="shared" si="1224"/>
        <v>1.5475463007249586</v>
      </c>
      <c r="J1884" s="1">
        <f t="shared" si="1224"/>
        <v>0.33016221949298241</v>
      </c>
      <c r="K1884" s="1">
        <f t="shared" si="1224"/>
        <v>3.2895184747634004E-2</v>
      </c>
    </row>
    <row r="1885" spans="2:11" x14ac:dyDescent="0.25">
      <c r="B1885" s="5" t="str">
        <f t="shared" si="1165"/>
        <v>SPS2</v>
      </c>
      <c r="C1885" s="5" t="str">
        <f t="shared" ref="B1885:C1885" si="1225">C1884</f>
        <v>CH</v>
      </c>
      <c r="D1885" t="s">
        <v>1906</v>
      </c>
      <c r="E1885" t="str">
        <f t="shared" ref="E1885:E1897" si="1226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1.9285746836313034</v>
      </c>
      <c r="G1885" s="1" cm="1">
        <f t="array" ref="G1885">SUMPRODUCT(([1]OUT_FinalEnergyCons!$B$4:$B$10000="Var_cap")*1,(ISNUMBER(SEARCH("SCOM-SHLFOBR",[1]OUT_FinalEnergyCons!$A$4:$A$10000)))*1,[1]OUT_FinalEnergyCons!E$4:E$10000)</f>
        <v>1.7486850928395665</v>
      </c>
      <c r="H1885" s="1" cm="1">
        <f t="array" ref="H1885">SUMPRODUCT(([1]OUT_FinalEnergyCons!$B$4:$B$10000="Var_cap")*1,(ISNUMBER(SEARCH("SCOM-SHLFOBR",[1]OUT_FinalEnergyCons!$A$4:$A$10000)))*1,[1]OUT_FinalEnergyCons!F$4:F$10000)</f>
        <v>1.5476337421694479</v>
      </c>
      <c r="I1885" s="1" cm="1">
        <f t="array" ref="I1885">SUMPRODUCT(([1]OUT_FinalEnergyCons!$B$4:$B$10000="Var_cap")*1,(ISNUMBER(SEARCH("SCOM-SHLFOBR",[1]OUT_FinalEnergyCons!$A$4:$A$10000)))*1,[1]OUT_FinalEnergyCons!G$4:G$10000)</f>
        <v>1.5475463007249586</v>
      </c>
      <c r="J1885" s="1" cm="1">
        <f t="array" ref="J1885">SUMPRODUCT(([1]OUT_FinalEnergyCons!$B$4:$B$10000="Var_cap")*1,(ISNUMBER(SEARCH("SCOM-SHLFOBR",[1]OUT_FinalEnergyCons!$A$4:$A$10000)))*1,[1]OUT_FinalEnergyCons!H$4:H$10000)</f>
        <v>0.33016221949298241</v>
      </c>
      <c r="K1885" s="1" cm="1">
        <f t="array" ref="K1885">SUMPRODUCT(([1]OUT_FinalEnergyCons!$B$4:$B$10000="Var_cap")*1,(ISNUMBER(SEARCH("SCOM-SHLFOBR",[1]OUT_FinalEnergyCons!$A$4:$A$10000)))*1,[1]OUT_FinalEnergyCons!I$4:I$10000)</f>
        <v>3.2895184747634004E-2</v>
      </c>
    </row>
    <row r="1886" spans="2:11" x14ac:dyDescent="0.25">
      <c r="B1886" s="5" t="str">
        <f t="shared" si="1165"/>
        <v>SPS2</v>
      </c>
      <c r="C1886" s="5" t="str">
        <f t="shared" ref="B1886:C1886" si="1227">C1885</f>
        <v>CH</v>
      </c>
      <c r="D1886" t="s">
        <v>1907</v>
      </c>
      <c r="E1886" t="str">
        <f t="shared" si="1226"/>
        <v>GWth/yr.</v>
      </c>
      <c r="F1886" s="1">
        <f>SUM(F1887:F1889)</f>
        <v>2.8800238372253175</v>
      </c>
      <c r="G1886" s="1">
        <f t="shared" ref="G1886:K1886" si="1228">SUM(G1887:G1889)</f>
        <v>2.8759185747151879</v>
      </c>
      <c r="H1886" s="1">
        <f t="shared" si="1228"/>
        <v>2.6895610861765746</v>
      </c>
      <c r="I1886" s="1">
        <f t="shared" si="1228"/>
        <v>2.9894127359924942</v>
      </c>
      <c r="J1886" s="1">
        <f t="shared" si="1228"/>
        <v>1.3547776155276421</v>
      </c>
      <c r="K1886" s="1">
        <f t="shared" si="1228"/>
        <v>1.0527798160699346</v>
      </c>
    </row>
    <row r="1887" spans="2:11" x14ac:dyDescent="0.25">
      <c r="B1887" s="5" t="str">
        <f t="shared" si="1165"/>
        <v>SPS2</v>
      </c>
      <c r="C1887" s="5" t="str">
        <f t="shared" ref="B1887:C1887" si="1229">C1886</f>
        <v>CH</v>
      </c>
      <c r="D1887" t="s">
        <v>1908</v>
      </c>
      <c r="E1887" t="str">
        <f t="shared" si="1226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2.7746816752512102</v>
      </c>
      <c r="G1887" s="1" cm="1">
        <f t="array" ref="G1887">SUMPRODUCT(([1]OUT_FinalEnergyCons!$B$4:$B$10000="Var_cap")*1, (ISNUMBER(SEARCH("SCOM-SHNGABR",[1]OUT_FinalEnergyCons!$A$4:$A$10000)))*1,[1]OUT_FinalEnergyCons!E$4:E$10000)</f>
        <v>2.7705118912588431</v>
      </c>
      <c r="H1887" s="1" cm="1">
        <f t="array" ref="H1887">SUMPRODUCT(([1]OUT_FinalEnergyCons!$B$4:$B$10000="Var_cap")*1, (ISNUMBER(SEARCH("SCOM-SHNGABR",[1]OUT_FinalEnergyCons!$A$4:$A$10000)))*1,[1]OUT_FinalEnergyCons!F$4:F$10000)</f>
        <v>2.4232021634292669</v>
      </c>
      <c r="I1887" s="1" cm="1">
        <f t="array" ref="I1887">SUMPRODUCT(([1]OUT_FinalEnergyCons!$B$4:$B$10000="Var_cap")*1, (ISNUMBER(SEARCH("SCOM-SHNGABR",[1]OUT_FinalEnergyCons!$A$4:$A$10000)))*1,[1]OUT_FinalEnergyCons!G$4:G$10000)</f>
        <v>2.4231339568511956</v>
      </c>
      <c r="J1887" s="1" cm="1">
        <f t="array" ref="J1887">SUMPRODUCT(([1]OUT_FinalEnergyCons!$B$4:$B$10000="Var_cap")*1, (ISNUMBER(SEARCH("SCOM-SHNGABR",[1]OUT_FinalEnergyCons!$A$4:$A$10000)))*1,[1]OUT_FinalEnergyCons!H$4:H$10000)</f>
        <v>0.56851987768450984</v>
      </c>
      <c r="K1887" s="1" cm="1">
        <f t="array" ref="K1887">SUMPRODUCT(([1]OUT_FinalEnergyCons!$B$4:$B$10000="Var_cap")*1, (ISNUMBER(SEARCH("SCOM-SHNGABR",[1]OUT_FinalEnergyCons!$A$4:$A$10000)))*1,[1]OUT_FinalEnergyCons!I$4:I$10000)</f>
        <v>0.2404876704552153</v>
      </c>
    </row>
    <row r="1888" spans="2:11" x14ac:dyDescent="0.25">
      <c r="B1888" s="5" t="str">
        <f t="shared" si="1165"/>
        <v>SPS2</v>
      </c>
      <c r="C1888" s="5" t="str">
        <f t="shared" ref="B1888:C1888" si="1230">C1887</f>
        <v>CH</v>
      </c>
      <c r="D1888" t="s">
        <v>1909</v>
      </c>
      <c r="E1888" t="str">
        <f t="shared" si="1226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6.05079203876737E-7</v>
      </c>
      <c r="G1888" s="1" cm="1">
        <f t="array" ref="G1888">SUMPRODUCT(([1]OUT_FinalEnergyCons!$B$4:$B$10000="Var_cap")*1, (ISNUMBER(SEARCH("SCOM-SHngahp",[1]OUT_FinalEnergyCons!$A$4:$A$10000)))*1,[1]OUT_FinalEnergyCons!E$4:E$10000)</f>
        <v>5.7905662932782605E-5</v>
      </c>
      <c r="H1888" s="1" cm="1">
        <f t="array" ref="H1888">SUMPRODUCT(([1]OUT_FinalEnergyCons!$B$4:$B$10000="Var_cap")*1, (ISNUMBER(SEARCH("SCOM-SHngahp",[1]OUT_FinalEnergyCons!$A$4:$A$10000)))*1,[1]OUT_FinalEnergyCons!F$4:F$10000)</f>
        <v>0.16105284561232494</v>
      </c>
      <c r="I1888" s="1" cm="1">
        <f t="array" ref="I1888">SUMPRODUCT(([1]OUT_FinalEnergyCons!$B$4:$B$10000="Var_cap")*1, (ISNUMBER(SEARCH("SCOM-SHngahp",[1]OUT_FinalEnergyCons!$A$4:$A$10000)))*1,[1]OUT_FinalEnergyCons!G$4:G$10000)</f>
        <v>0.46098492622662773</v>
      </c>
      <c r="J1888" s="1" cm="1">
        <f t="array" ref="J1888">SUMPRODUCT(([1]OUT_FinalEnergyCons!$B$4:$B$10000="Var_cap")*1, (ISNUMBER(SEARCH("SCOM-SHngahp",[1]OUT_FinalEnergyCons!$A$4:$A$10000)))*1,[1]OUT_FinalEnergyCons!H$4:H$10000)</f>
        <v>0.7861507615633333</v>
      </c>
      <c r="K1888" s="1" cm="1">
        <f t="array" ref="K1888">SUMPRODUCT(([1]OUT_FinalEnergyCons!$B$4:$B$10000="Var_cap")*1, (ISNUMBER(SEARCH("SCOM-SHngahp",[1]OUT_FinalEnergyCons!$A$4:$A$10000)))*1,[1]OUT_FinalEnergyCons!I$4:I$10000)</f>
        <v>0.81219782340532876</v>
      </c>
    </row>
    <row r="1889" spans="2:11" x14ac:dyDescent="0.25">
      <c r="B1889" s="5" t="str">
        <f t="shared" si="1165"/>
        <v>SPS2</v>
      </c>
      <c r="C1889" s="5" t="str">
        <f t="shared" ref="B1889:C1889" si="1231">C1888</f>
        <v>CH</v>
      </c>
      <c r="D1889" t="s">
        <v>1910</v>
      </c>
      <c r="E1889" t="str">
        <f t="shared" si="1226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0.10534155689490322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0.10534877779341204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0.10530607713498275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0.10529385291467086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1.0697627979889347E-4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9.4322209390467566E-5</v>
      </c>
    </row>
    <row r="1890" spans="2:11" x14ac:dyDescent="0.25">
      <c r="B1890" s="5" t="str">
        <f t="shared" si="1165"/>
        <v>SPS2</v>
      </c>
      <c r="C1890" s="5" t="str">
        <f t="shared" ref="B1890:C1890" si="1232">C1889</f>
        <v>CH</v>
      </c>
      <c r="D1890" t="s">
        <v>1911</v>
      </c>
      <c r="E1890" t="str">
        <f t="shared" si="1226"/>
        <v>GWth/yr.</v>
      </c>
      <c r="F1890" s="1">
        <f>F1891</f>
        <v>0.4784275126630716</v>
      </c>
      <c r="G1890" s="1">
        <f t="shared" ref="G1890:K1890" si="1233">G1891</f>
        <v>0.47843239910791907</v>
      </c>
      <c r="H1890" s="1">
        <f t="shared" si="1233"/>
        <v>0.56570008348928957</v>
      </c>
      <c r="I1890" s="1">
        <f t="shared" si="1233"/>
        <v>0.59654070747558008</v>
      </c>
      <c r="J1890" s="1">
        <f t="shared" si="1233"/>
        <v>0.52414458792251817</v>
      </c>
      <c r="K1890" s="1">
        <f t="shared" si="1233"/>
        <v>0.42164616984087994</v>
      </c>
    </row>
    <row r="1891" spans="2:11" x14ac:dyDescent="0.25">
      <c r="B1891" s="5" t="str">
        <f t="shared" si="1165"/>
        <v>SPS2</v>
      </c>
      <c r="C1891" s="5" t="str">
        <f t="shared" ref="B1891:C1891" si="1234">C1890</f>
        <v>CH</v>
      </c>
      <c r="D1891" t="s">
        <v>1912</v>
      </c>
      <c r="E1891" t="str">
        <f t="shared" si="1226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0.4784275126630716</v>
      </c>
      <c r="G1891" s="1" cm="1">
        <f t="array" ref="G1891">SUMPRODUCT(([1]OUT_FinalEnergyCons!$B$4:$B$10000="Var_cap")*1, (ISNUMBER(SEARCH("SCOM-SHWODBR",[1]OUT_FinalEnergyCons!$A$4:$A$10000)))*1,[1]OUT_FinalEnergyCons!E$4:E$10000)</f>
        <v>0.47843239910791907</v>
      </c>
      <c r="H1891" s="1" cm="1">
        <f t="array" ref="H1891">SUMPRODUCT(([1]OUT_FinalEnergyCons!$B$4:$B$10000="Var_cap")*1, (ISNUMBER(SEARCH("SCOM-SHWODBR",[1]OUT_FinalEnergyCons!$A$4:$A$10000)))*1,[1]OUT_FinalEnergyCons!F$4:F$10000)</f>
        <v>0.56570008348928957</v>
      </c>
      <c r="I1891" s="1" cm="1">
        <f t="array" ref="I1891">SUMPRODUCT(([1]OUT_FinalEnergyCons!$B$4:$B$10000="Var_cap")*1, (ISNUMBER(SEARCH("SCOM-SHWODBR",[1]OUT_FinalEnergyCons!$A$4:$A$10000)))*1,[1]OUT_FinalEnergyCons!G$4:G$10000)</f>
        <v>0.59654070747558008</v>
      </c>
      <c r="J1891" s="1" cm="1">
        <f t="array" ref="J1891">SUMPRODUCT(([1]OUT_FinalEnergyCons!$B$4:$B$10000="Var_cap")*1, (ISNUMBER(SEARCH("SCOM-SHWODBR",[1]OUT_FinalEnergyCons!$A$4:$A$10000)))*1,[1]OUT_FinalEnergyCons!H$4:H$10000)</f>
        <v>0.52414458792251817</v>
      </c>
      <c r="K1891" s="1" cm="1">
        <f t="array" ref="K1891">SUMPRODUCT(([1]OUT_FinalEnergyCons!$B$4:$B$10000="Var_cap")*1, (ISNUMBER(SEARCH("SCOM-SHWODBR",[1]OUT_FinalEnergyCons!$A$4:$A$10000)))*1,[1]OUT_FinalEnergyCons!I$4:I$10000)</f>
        <v>0.42164616984087994</v>
      </c>
    </row>
    <row r="1892" spans="2:11" x14ac:dyDescent="0.25">
      <c r="B1892" s="5" t="str">
        <f t="shared" si="1165"/>
        <v>SPS2</v>
      </c>
      <c r="C1892" s="5" t="str">
        <f t="shared" ref="B1892:C1892" si="1235">C1891</f>
        <v>CH</v>
      </c>
      <c r="D1892" t="s">
        <v>1913</v>
      </c>
      <c r="E1892" t="str">
        <f t="shared" si="1226"/>
        <v>GWth/yr.</v>
      </c>
      <c r="F1892" s="1">
        <f>F1893</f>
        <v>0.15066714759660804</v>
      </c>
      <c r="G1892" s="1">
        <f t="shared" ref="G1892:K1892" si="1236">G1893</f>
        <v>0.17483774482500522</v>
      </c>
      <c r="H1892" s="1">
        <f t="shared" si="1236"/>
        <v>6.4056218736936205E-2</v>
      </c>
      <c r="I1892" s="1">
        <f t="shared" si="1236"/>
        <v>6.4055192671584008E-2</v>
      </c>
      <c r="J1892" s="1">
        <f t="shared" si="1236"/>
        <v>0.1076548406694945</v>
      </c>
      <c r="K1892" s="1">
        <f t="shared" si="1236"/>
        <v>0.11049740235653632</v>
      </c>
    </row>
    <row r="1893" spans="2:11" x14ac:dyDescent="0.25">
      <c r="B1893" s="5" t="str">
        <f t="shared" si="1165"/>
        <v>SPS2</v>
      </c>
      <c r="C1893" s="5" t="str">
        <f t="shared" ref="B1893:C1893" si="1237">C1892</f>
        <v>CH</v>
      </c>
      <c r="D1893" t="s">
        <v>1914</v>
      </c>
      <c r="E1893" t="str">
        <f t="shared" si="1226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0.15066714759660804</v>
      </c>
      <c r="G1893" s="1" cm="1">
        <f t="array" ref="G1893">SUMPRODUCT(([1]OUT_FinalEnergyCons!$B$4:$B$10000="Var_cap")*1,(ISNUMBER(SEARCH("SCOM-SHPLTBR",[1]OUT_FinalEnergyCons!$A$4:$A$10000)))*1,[1]OUT_FinalEnergyCons!E$4:E$10000)</f>
        <v>0.17483774482500522</v>
      </c>
      <c r="H1893" s="1" cm="1">
        <f t="array" ref="H1893">SUMPRODUCT(([1]OUT_FinalEnergyCons!$B$4:$B$10000="Var_cap")*1,(ISNUMBER(SEARCH("SCOM-SHPLTBR",[1]OUT_FinalEnergyCons!$A$4:$A$10000)))*1,[1]OUT_FinalEnergyCons!F$4:F$10000)</f>
        <v>6.4056218736936205E-2</v>
      </c>
      <c r="I1893" s="1" cm="1">
        <f t="array" ref="I1893">SUMPRODUCT(([1]OUT_FinalEnergyCons!$B$4:$B$10000="Var_cap")*1,(ISNUMBER(SEARCH("SCOM-SHPLTBR",[1]OUT_FinalEnergyCons!$A$4:$A$10000)))*1,[1]OUT_FinalEnergyCons!G$4:G$10000)</f>
        <v>6.4055192671584008E-2</v>
      </c>
      <c r="J1893" s="1" cm="1">
        <f t="array" ref="J1893">SUMPRODUCT(([1]OUT_FinalEnergyCons!$B$4:$B$10000="Var_cap")*1,(ISNUMBER(SEARCH("SCOM-SHPLTBR",[1]OUT_FinalEnergyCons!$A$4:$A$10000)))*1,[1]OUT_FinalEnergyCons!H$4:H$10000)</f>
        <v>0.1076548406694945</v>
      </c>
      <c r="K1893" s="1" cm="1">
        <f t="array" ref="K1893">SUMPRODUCT(([1]OUT_FinalEnergyCons!$B$4:$B$10000="Var_cap")*1,(ISNUMBER(SEARCH("SCOM-SHPLTBR",[1]OUT_FinalEnergyCons!$A$4:$A$10000)))*1,[1]OUT_FinalEnergyCons!I$4:I$10000)</f>
        <v>0.11049740235653632</v>
      </c>
    </row>
    <row r="1894" spans="2:11" x14ac:dyDescent="0.25">
      <c r="B1894" s="5" t="str">
        <f t="shared" si="1165"/>
        <v>SPS2</v>
      </c>
      <c r="C1894" s="5" t="str">
        <f t="shared" ref="B1894:C1894" si="1238">C1893</f>
        <v>CH</v>
      </c>
      <c r="D1894" t="s">
        <v>1915</v>
      </c>
      <c r="E1894" t="str">
        <f t="shared" si="1226"/>
        <v>GWth/yr.</v>
      </c>
      <c r="F1894" s="1">
        <f>F1895</f>
        <v>9.1115892637630022E-2</v>
      </c>
      <c r="G1894" s="1">
        <f t="shared" ref="G1894:K1894" si="1239">G1895</f>
        <v>9.9854339285483748E-2</v>
      </c>
      <c r="H1894" s="1">
        <f t="shared" si="1239"/>
        <v>9.9854392874528075E-2</v>
      </c>
      <c r="I1894" s="1">
        <f t="shared" si="1239"/>
        <v>9.9854940278038276E-2</v>
      </c>
      <c r="J1894" s="1">
        <f t="shared" si="1239"/>
        <v>0.10890765850724445</v>
      </c>
      <c r="K1894" s="1">
        <f t="shared" si="1239"/>
        <v>0.14471354295802072</v>
      </c>
    </row>
    <row r="1895" spans="2:11" x14ac:dyDescent="0.25">
      <c r="B1895" s="5" t="str">
        <f t="shared" si="1165"/>
        <v>SPS2</v>
      </c>
      <c r="C1895" s="5" t="str">
        <f t="shared" ref="B1895:C1895" si="1240">C1894</f>
        <v>CH</v>
      </c>
      <c r="D1895" t="s">
        <v>1916</v>
      </c>
      <c r="E1895" t="str">
        <f t="shared" si="1226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9.1115892637630022E-2</v>
      </c>
      <c r="G1895" s="1" cm="1">
        <f t="array" ref="G1895">SUMPRODUCT(([1]OUT_FinalEnergyCons!$B$4:$B$10000="Var_cap")*1, (ISNUMBER(SEARCH("SCOM-SHSOLBR",[1]OUT_FinalEnergyCons!$A$4:$A$10000)))*1,[1]OUT_FinalEnergyCons!E$4:E$10000)</f>
        <v>9.9854339285483748E-2</v>
      </c>
      <c r="H1895" s="1" cm="1">
        <f t="array" ref="H1895">SUMPRODUCT(([1]OUT_FinalEnergyCons!$B$4:$B$10000="Var_cap")*1, (ISNUMBER(SEARCH("SCOM-SHSOLBR",[1]OUT_FinalEnergyCons!$A$4:$A$10000)))*1,[1]OUT_FinalEnergyCons!F$4:F$10000)</f>
        <v>9.9854392874528075E-2</v>
      </c>
      <c r="I1895" s="1" cm="1">
        <f t="array" ref="I1895">SUMPRODUCT(([1]OUT_FinalEnergyCons!$B$4:$B$10000="Var_cap")*1, (ISNUMBER(SEARCH("SCOM-SHSOLBR",[1]OUT_FinalEnergyCons!$A$4:$A$10000)))*1,[1]OUT_FinalEnergyCons!G$4:G$10000)</f>
        <v>9.9854940278038276E-2</v>
      </c>
      <c r="J1895" s="1" cm="1">
        <f t="array" ref="J1895">SUMPRODUCT(([1]OUT_FinalEnergyCons!$B$4:$B$10000="Var_cap")*1, (ISNUMBER(SEARCH("SCOM-SHSOLBR",[1]OUT_FinalEnergyCons!$A$4:$A$10000)))*1,[1]OUT_FinalEnergyCons!H$4:H$10000)</f>
        <v>0.10890765850724445</v>
      </c>
      <c r="K1895" s="1" cm="1">
        <f t="array" ref="K1895">SUMPRODUCT(([1]OUT_FinalEnergyCons!$B$4:$B$10000="Var_cap")*1, (ISNUMBER(SEARCH("SCOM-SHSOLBR",[1]OUT_FinalEnergyCons!$A$4:$A$10000)))*1,[1]OUT_FinalEnergyCons!I$4:I$10000)</f>
        <v>0.14471354295802072</v>
      </c>
    </row>
    <row r="1896" spans="2:11" x14ac:dyDescent="0.25">
      <c r="B1896" s="5" t="str">
        <f t="shared" si="1165"/>
        <v>SPS2</v>
      </c>
      <c r="C1896" s="5" t="str">
        <f t="shared" ref="B1896:C1896" si="1241">C1895</f>
        <v>CH</v>
      </c>
      <c r="D1896" t="s">
        <v>1917</v>
      </c>
      <c r="E1896" t="str">
        <f t="shared" si="1226"/>
        <v>GWth/yr.</v>
      </c>
      <c r="F1896" s="1">
        <f>F1897</f>
        <v>0</v>
      </c>
      <c r="G1896" s="1">
        <f t="shared" ref="G1896:K1896" si="1242">G1897</f>
        <v>0</v>
      </c>
      <c r="H1896" s="1">
        <f t="shared" si="1242"/>
        <v>0</v>
      </c>
      <c r="I1896" s="1">
        <f t="shared" si="1242"/>
        <v>1.2354164906543001E-6</v>
      </c>
      <c r="J1896" s="1">
        <f t="shared" si="1242"/>
        <v>0.94314132681754559</v>
      </c>
      <c r="K1896" s="1">
        <f t="shared" si="1242"/>
        <v>1.0093545818867673</v>
      </c>
    </row>
    <row r="1897" spans="2:11" x14ac:dyDescent="0.25">
      <c r="B1897" s="5" t="str">
        <f t="shared" si="1165"/>
        <v>SPS2</v>
      </c>
      <c r="C1897" s="5" t="str">
        <f t="shared" ref="B1897:C1897" si="1243">C1896</f>
        <v>CH</v>
      </c>
      <c r="D1897" t="s">
        <v>1918</v>
      </c>
      <c r="E1897" t="str">
        <f t="shared" si="1226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1.2354164906543001E-6</v>
      </c>
      <c r="J1897" s="1" cm="1">
        <f t="array" ref="J1897">SUMPRODUCT(([1]OUT_FinalEnergyCons!$B$4:$B$10000="Var_cap")*1, (ISNUMBER(SEARCH("SCOM-SHH2BR",[1]OUT_FinalEnergyCons!$A$4:$A$10000)))*1,[1]OUT_FinalEnergyCons!H$4:H$10000)</f>
        <v>0.94314132681754559</v>
      </c>
      <c r="K1897" s="1" cm="1">
        <f t="array" ref="K1897">SUMPRODUCT(([1]OUT_FinalEnergyCons!$B$4:$B$10000="Var_cap")*1, (ISNUMBER(SEARCH("SCOM-SHH2BR",[1]OUT_FinalEnergyCons!$A$4:$A$10000)))*1,[1]OUT_FinalEnergyCons!I$4:I$10000)</f>
        <v>1.0093545818867673</v>
      </c>
    </row>
    <row r="1898" spans="2:11" x14ac:dyDescent="0.25">
      <c r="B1898" s="5" t="str">
        <f t="shared" si="1165"/>
        <v>SPS2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4.4461796102920719</v>
      </c>
      <c r="G1898" s="3">
        <f t="shared" ref="G1898:K1898" si="1244">SUM(G1899:G1948)</f>
        <v>4.7265315526400871</v>
      </c>
      <c r="H1898" s="3">
        <f t="shared" si="1244"/>
        <v>4.9116869979140967</v>
      </c>
      <c r="I1898" s="3">
        <f t="shared" si="1244"/>
        <v>5.2284937156132321</v>
      </c>
      <c r="J1898" s="3">
        <f t="shared" si="1244"/>
        <v>5.5826269213160193</v>
      </c>
      <c r="K1898" s="3">
        <f t="shared" si="1244"/>
        <v>5.845459125609608</v>
      </c>
    </row>
    <row r="1899" spans="2:11" x14ac:dyDescent="0.25">
      <c r="B1899" s="5" t="str">
        <f t="shared" si="1165"/>
        <v>SPS2</v>
      </c>
      <c r="C1899" s="5" t="str">
        <f t="shared" ref="C1899:C1948" si="1245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2.8026653062109011E-2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165"/>
        <v>SPS2</v>
      </c>
      <c r="C1900" s="5" t="str">
        <f t="shared" si="1245"/>
        <v>CH</v>
      </c>
      <c r="D1900" t="s">
        <v>1923</v>
      </c>
      <c r="E1900" t="str">
        <f t="shared" ref="E1900:E1948" si="1246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2.2227533147776229E-2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5.4364602975162775E-2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0.1474476535768007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0.2642024852983787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0.31440104670062868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0.34851991639772556</v>
      </c>
    </row>
    <row r="1901" spans="2:11" x14ac:dyDescent="0.25">
      <c r="B1901" s="5" t="str">
        <f t="shared" si="1165"/>
        <v>SPS2</v>
      </c>
      <c r="C1901" s="5" t="str">
        <f t="shared" si="1245"/>
        <v>CH</v>
      </c>
      <c r="D1901" t="s">
        <v>1924</v>
      </c>
      <c r="E1901" t="str">
        <f t="shared" si="1246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6.3375354725694319E-2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6.5783806214321977E-2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0.24862829680465234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0.76997397328800832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1.9282112109150222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1.9023047776495854</v>
      </c>
    </row>
    <row r="1902" spans="2:11" x14ac:dyDescent="0.25">
      <c r="B1902" s="5" t="str">
        <f t="shared" si="1165"/>
        <v>SPS2</v>
      </c>
      <c r="C1902" s="5" t="str">
        <f t="shared" si="1245"/>
        <v>CH</v>
      </c>
      <c r="D1902" t="s">
        <v>1925</v>
      </c>
      <c r="E1902" t="str">
        <f t="shared" si="1246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5.2316925494140791E-2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5.3010999542245821E-2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4.9973869701899501E-2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3.9555480279491712E-2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4.4161030933867591E-2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0.39764050785891913</v>
      </c>
    </row>
    <row r="1903" spans="2:11" x14ac:dyDescent="0.25">
      <c r="B1903" s="5" t="str">
        <f t="shared" si="1165"/>
        <v>SPS2</v>
      </c>
      <c r="C1903" s="5" t="str">
        <f t="shared" si="1245"/>
        <v>CH</v>
      </c>
      <c r="D1903" t="s">
        <v>1926</v>
      </c>
      <c r="E1903" t="str">
        <f t="shared" si="1246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0.10115969994130181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0.18629834240007659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0.5860880238506182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1.2670443694473335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1.9875928192373673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2.0025546782549175</v>
      </c>
    </row>
    <row r="1904" spans="2:11" x14ac:dyDescent="0.25">
      <c r="B1904" s="5" t="str">
        <f t="shared" si="1165"/>
        <v>SPS2</v>
      </c>
      <c r="C1904" s="5" t="str">
        <f t="shared" si="1245"/>
        <v>CH</v>
      </c>
      <c r="D1904" t="s">
        <v>1927</v>
      </c>
      <c r="E1904" t="str">
        <f t="shared" si="1246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2.47208543829546E-5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1.1116930048215689E-4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3.3888419239668264E-4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5.5725959936198924E-4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3.5151752056027075E-4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2.1122270898574653E-4</v>
      </c>
    </row>
    <row r="1905" spans="2:11" x14ac:dyDescent="0.25">
      <c r="B1905" s="5" t="str">
        <f t="shared" si="1165"/>
        <v>SPS2</v>
      </c>
      <c r="C1905" s="5" t="str">
        <f t="shared" si="1245"/>
        <v>CH</v>
      </c>
      <c r="D1905" t="s">
        <v>1928</v>
      </c>
      <c r="E1905" t="str">
        <f t="shared" si="1246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2.9693102157020397E-3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5.593711182420232E-3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8.9198133872200203E-3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9.6548709306457803E-3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1.8398893531382978E-3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5.9730170338407576E-4</v>
      </c>
    </row>
    <row r="1906" spans="2:11" x14ac:dyDescent="0.25">
      <c r="B1906" s="5" t="str">
        <f t="shared" si="1165"/>
        <v>SPS2</v>
      </c>
      <c r="C1906" s="5" t="str">
        <f t="shared" si="1245"/>
        <v>CH</v>
      </c>
      <c r="D1906" t="s">
        <v>1929</v>
      </c>
      <c r="E1906" t="str">
        <f t="shared" si="1246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3.2699590411622652E-3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5.3628056326299987E-2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0.17850673508675804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0.44527463247850024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0.73604665416075443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0.65286444091702645</v>
      </c>
    </row>
    <row r="1907" spans="2:11" x14ac:dyDescent="0.25">
      <c r="B1907" s="5" t="str">
        <f t="shared" si="1165"/>
        <v>SPS2</v>
      </c>
      <c r="C1907" s="5" t="str">
        <f t="shared" si="1245"/>
        <v>CH</v>
      </c>
      <c r="D1907" t="s">
        <v>1930</v>
      </c>
      <c r="E1907" t="str">
        <f t="shared" si="1246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3.3443177721939193E-3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1.1394308917444491E-2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1.1395265060535549E-2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1.0866567408578141E-2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1.4747846360096614E-3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7.9983074202393109E-4</v>
      </c>
    </row>
    <row r="1908" spans="2:11" x14ac:dyDescent="0.25">
      <c r="B1908" s="5" t="str">
        <f t="shared" ref="B1908:B1971" si="1247">B1907</f>
        <v>SPS2</v>
      </c>
      <c r="C1908" s="5" t="str">
        <f t="shared" si="1245"/>
        <v>CH</v>
      </c>
      <c r="D1908" t="s">
        <v>1931</v>
      </c>
      <c r="E1908" t="str">
        <f t="shared" si="1246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6.9903919499429205E-5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3.1212883493852089E-4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5.5775052740181892E-4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3.6119065713884443E-4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2.1237888668038145E-4</v>
      </c>
    </row>
    <row r="1909" spans="2:11" x14ac:dyDescent="0.25">
      <c r="B1909" s="5" t="str">
        <f t="shared" si="1247"/>
        <v>SPS2</v>
      </c>
      <c r="C1909" s="5" t="str">
        <f t="shared" si="1245"/>
        <v>CH</v>
      </c>
      <c r="D1909" t="s">
        <v>1932</v>
      </c>
      <c r="E1909" t="str">
        <f t="shared" si="1246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3.9876618004527967E-5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7.194337445076214E-2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6.8664172796712566E-2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8.9525451627329774E-3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5.600537134223915E-4</v>
      </c>
    </row>
    <row r="1910" spans="2:11" x14ac:dyDescent="0.25">
      <c r="B1910" s="5" t="str">
        <f t="shared" si="1247"/>
        <v>SPS2</v>
      </c>
      <c r="C1910" s="5" t="str">
        <f t="shared" si="1245"/>
        <v>CH</v>
      </c>
      <c r="D1910" t="s">
        <v>1933</v>
      </c>
      <c r="E1910" t="str">
        <f t="shared" si="1246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1.2053616724243088E-4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7.0434640535197476E-2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0.25734561997950089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0.50807561735389362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0.45419697570157747</v>
      </c>
    </row>
    <row r="1911" spans="2:11" x14ac:dyDescent="0.25">
      <c r="B1911" s="5" t="str">
        <f t="shared" si="1247"/>
        <v>SPS2</v>
      </c>
      <c r="C1911" s="5" t="str">
        <f t="shared" si="1245"/>
        <v>CH</v>
      </c>
      <c r="D1911" t="s">
        <v>1934</v>
      </c>
      <c r="E1911" t="str">
        <f t="shared" si="1246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2.5915236277514598E-4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7.8387222618122698E-4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1.677558477519128E-3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4.4084424516399436E-3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1.9944225972929404E-3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7.0822621355078801E-4</v>
      </c>
    </row>
    <row r="1912" spans="2:11" x14ac:dyDescent="0.25">
      <c r="B1912" s="5" t="str">
        <f t="shared" si="1247"/>
        <v>SPS2</v>
      </c>
      <c r="C1912" s="5" t="str">
        <f t="shared" si="1245"/>
        <v>CH</v>
      </c>
      <c r="D1912" t="s">
        <v>1935</v>
      </c>
      <c r="E1912" t="str">
        <f t="shared" si="1246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1.3686355708601501E-5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3.8432767131836835E-5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6.5990392564637003E-5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4.4102936379484488E-2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2.2767776190244039E-2</v>
      </c>
    </row>
    <row r="1913" spans="2:11" x14ac:dyDescent="0.25">
      <c r="B1913" s="5" t="str">
        <f t="shared" si="1247"/>
        <v>SPS2</v>
      </c>
      <c r="C1913" s="5" t="str">
        <f t="shared" si="1245"/>
        <v>CH</v>
      </c>
      <c r="D1913" t="s">
        <v>1936</v>
      </c>
      <c r="E1913" t="str">
        <f t="shared" si="1246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6.2276420675400188E-6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1.455068150808584E-5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2.8510878886337978E-5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4.0252304857820391E-5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7.7264305464262687E-5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4.7674545656867839E-5</v>
      </c>
    </row>
    <row r="1914" spans="2:11" x14ac:dyDescent="0.25">
      <c r="B1914" s="5" t="str">
        <f t="shared" si="1247"/>
        <v>SPS2</v>
      </c>
      <c r="C1914" s="5" t="str">
        <f t="shared" si="1245"/>
        <v>CH</v>
      </c>
      <c r="D1914" t="s">
        <v>1937</v>
      </c>
      <c r="E1914" t="str">
        <f t="shared" si="1246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5.3418477471115694E-5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1.1553900226492629E-4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1.19972242142476E-4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1.1161819991871469E-4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5.6517882560747507E-5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4.1019767973354507E-5</v>
      </c>
    </row>
    <row r="1915" spans="2:11" x14ac:dyDescent="0.25">
      <c r="B1915" s="5" t="str">
        <f t="shared" si="1247"/>
        <v>SPS2</v>
      </c>
      <c r="C1915" s="5" t="str">
        <f t="shared" si="1245"/>
        <v>CH</v>
      </c>
      <c r="D1915" t="s">
        <v>1938</v>
      </c>
      <c r="E1915" t="str">
        <f t="shared" si="1246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1.0934149512846899E-5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2.5343267365365658E-5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3.8764165947545998E-5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3.0117797737010848E-4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6.043235512216414E-2</v>
      </c>
    </row>
    <row r="1916" spans="2:11" x14ac:dyDescent="0.25">
      <c r="B1916" s="5" t="str">
        <f t="shared" si="1247"/>
        <v>SPS2</v>
      </c>
      <c r="C1916" s="5" t="str">
        <f t="shared" si="1245"/>
        <v>CH</v>
      </c>
      <c r="D1916" t="s">
        <v>1939</v>
      </c>
      <c r="E1916" t="str">
        <f t="shared" si="1246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4.389465191769313E-2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247"/>
        <v>SPS2</v>
      </c>
      <c r="C1917" s="5" t="str">
        <f t="shared" si="1245"/>
        <v>CH</v>
      </c>
      <c r="D1917" t="s">
        <v>1940</v>
      </c>
      <c r="E1917" t="str">
        <f t="shared" si="1246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4.5296366248694601E-3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5.5080464123393692E-3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5.6244018720025477E-3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4.8846315335008481E-3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5.3383941719554226E-4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1.5111131985813569E-4</v>
      </c>
    </row>
    <row r="1918" spans="2:11" x14ac:dyDescent="0.25">
      <c r="B1918" s="5" t="str">
        <f t="shared" si="1247"/>
        <v>SPS2</v>
      </c>
      <c r="C1918" s="5" t="str">
        <f t="shared" si="1245"/>
        <v>CH</v>
      </c>
      <c r="D1918" t="s">
        <v>1941</v>
      </c>
      <c r="E1918" t="str">
        <f t="shared" si="1246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1.4887851853060579E-2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2.7152992262356922E-2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2.6327182236481412E-2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2.1609875264756818E-2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1.7949466367408101E-4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5.1635496496977228E-5</v>
      </c>
    </row>
    <row r="1919" spans="2:11" x14ac:dyDescent="0.25">
      <c r="B1919" s="5" t="str">
        <f t="shared" si="1247"/>
        <v>SPS2</v>
      </c>
      <c r="C1919" s="5" t="str">
        <f t="shared" si="1245"/>
        <v>CH</v>
      </c>
      <c r="D1919" t="s">
        <v>1942</v>
      </c>
      <c r="E1919" t="str">
        <f t="shared" si="1246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1.3028958180920369E-2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0.26645187880702675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0.25159041084638395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0.20270765695560658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9.1737689632710278E-5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3.0134294917885801E-5</v>
      </c>
    </row>
    <row r="1920" spans="2:11" x14ac:dyDescent="0.25">
      <c r="B1920" s="5" t="str">
        <f t="shared" si="1247"/>
        <v>SPS2</v>
      </c>
      <c r="C1920" s="5" t="str">
        <f t="shared" si="1245"/>
        <v>CH</v>
      </c>
      <c r="D1920" t="s">
        <v>1943</v>
      </c>
      <c r="E1920" t="str">
        <f t="shared" si="1246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8.0185234401396535E-3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1.4114433715631369E-2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1.3587064906066211E-2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1.1472393622247411E-2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1.4603548350096657E-4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5.2023944390572451E-5</v>
      </c>
    </row>
    <row r="1921" spans="2:11" x14ac:dyDescent="0.25">
      <c r="B1921" s="5" t="str">
        <f t="shared" si="1247"/>
        <v>SPS2</v>
      </c>
      <c r="C1921" s="5" t="str">
        <f t="shared" si="1245"/>
        <v>CH</v>
      </c>
      <c r="D1921" t="s">
        <v>1944</v>
      </c>
      <c r="E1921" t="str">
        <f t="shared" si="1246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1.6628635180553881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0.83142689673561088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247"/>
        <v>SPS2</v>
      </c>
      <c r="C1922" s="5" t="str">
        <f t="shared" si="1245"/>
        <v>CH</v>
      </c>
      <c r="D1922" t="s">
        <v>1945</v>
      </c>
      <c r="E1922" t="str">
        <f t="shared" si="1246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1.3238172530015298E-2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1.6484849487043728E-2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1.6215434864578007E-2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1.2402931124431273E-2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1.7478188473138507E-4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3.3774688768360264E-5</v>
      </c>
    </row>
    <row r="1923" spans="2:11" x14ac:dyDescent="0.25">
      <c r="B1923" s="5" t="str">
        <f t="shared" si="1247"/>
        <v>SPS2</v>
      </c>
      <c r="C1923" s="5" t="str">
        <f t="shared" si="1245"/>
        <v>CH</v>
      </c>
      <c r="D1923" t="s">
        <v>1946</v>
      </c>
      <c r="E1923" t="str">
        <f t="shared" si="1246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9.1658171847020992E-2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0.11762562140196861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0.11435217896812955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9.322827624043252E-2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6.9163868613391109E-5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1.5070926097140262E-5</v>
      </c>
    </row>
    <row r="1924" spans="2:11" x14ac:dyDescent="0.25">
      <c r="B1924" s="5" t="str">
        <f t="shared" si="1247"/>
        <v>SPS2</v>
      </c>
      <c r="C1924" s="5" t="str">
        <f t="shared" si="1245"/>
        <v>CH</v>
      </c>
      <c r="D1924" t="s">
        <v>1947</v>
      </c>
      <c r="E1924" t="str">
        <f t="shared" si="1246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3.5272046364102E-2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5.694703679522739E-2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5.3851521933189206E-2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4.3984769581769834E-2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5.839193685137409E-5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1.352524151682763E-5</v>
      </c>
    </row>
    <row r="1925" spans="2:11" x14ac:dyDescent="0.25">
      <c r="B1925" s="5" t="str">
        <f t="shared" si="1247"/>
        <v>SPS2</v>
      </c>
      <c r="C1925" s="5" t="str">
        <f t="shared" si="1245"/>
        <v>CH</v>
      </c>
      <c r="D1925" t="s">
        <v>1948</v>
      </c>
      <c r="E1925" t="str">
        <f t="shared" si="1246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2.3651682140052005E-2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4.5873169283833864E-2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4.3024462922829021E-2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3.3935662917547141E-2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1.0702055846350386E-3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3.0818563426237883E-4</v>
      </c>
    </row>
    <row r="1926" spans="2:11" x14ac:dyDescent="0.25">
      <c r="B1926" s="5" t="str">
        <f t="shared" si="1247"/>
        <v>SPS2</v>
      </c>
      <c r="C1926" s="5" t="str">
        <f t="shared" si="1245"/>
        <v>CH</v>
      </c>
      <c r="D1926" t="s">
        <v>1949</v>
      </c>
      <c r="E1926" t="str">
        <f t="shared" si="1246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2.4167438431512799E-5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9.5239353510193694E-5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1.3435257123307299E-4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8.4187833583057695E-5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2.4440554191086999E-5</v>
      </c>
    </row>
    <row r="1927" spans="2:11" x14ac:dyDescent="0.25">
      <c r="B1927" s="5" t="str">
        <f t="shared" si="1247"/>
        <v>SPS2</v>
      </c>
      <c r="C1927" s="5" t="str">
        <f t="shared" si="1245"/>
        <v>CH</v>
      </c>
      <c r="D1927" t="s">
        <v>1950</v>
      </c>
      <c r="E1927" t="str">
        <f t="shared" si="1246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1.2620830620296E-5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4.1055387879555703E-5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5.6395512305404402E-5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5.0246527693917398E-5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1.6443693676312099E-5</v>
      </c>
    </row>
    <row r="1928" spans="2:11" x14ac:dyDescent="0.25">
      <c r="B1928" s="5" t="str">
        <f t="shared" si="1247"/>
        <v>SPS2</v>
      </c>
      <c r="C1928" s="5" t="str">
        <f t="shared" si="1245"/>
        <v>CH</v>
      </c>
      <c r="D1928" t="s">
        <v>1951</v>
      </c>
      <c r="E1928" t="str">
        <f t="shared" si="1246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1.3841282128844201E-5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3.4894602614239503E-5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4.6178701255348499E-5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4.4104654980945602E-5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1.49829922275181E-5</v>
      </c>
    </row>
    <row r="1929" spans="2:11" x14ac:dyDescent="0.25">
      <c r="B1929" s="5" t="str">
        <f t="shared" si="1247"/>
        <v>SPS2</v>
      </c>
      <c r="C1929" s="5" t="str">
        <f t="shared" si="1245"/>
        <v>CH</v>
      </c>
      <c r="D1929" t="s">
        <v>1952</v>
      </c>
      <c r="E1929" t="str">
        <f t="shared" si="1246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2.0852834707532599E-5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5.2974807080714697E-5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6.9267476671081105E-5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8.0890167965641294E-5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3.0366141028270202E-5</v>
      </c>
    </row>
    <row r="1930" spans="2:11" x14ac:dyDescent="0.25">
      <c r="B1930" s="5" t="str">
        <f t="shared" si="1247"/>
        <v>SPS2</v>
      </c>
      <c r="C1930" s="5" t="str">
        <f t="shared" si="1245"/>
        <v>CH</v>
      </c>
      <c r="D1930" t="s">
        <v>1953</v>
      </c>
      <c r="E1930" t="str">
        <f t="shared" si="1246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247"/>
        <v>SPS2</v>
      </c>
      <c r="C1931" s="5" t="str">
        <f t="shared" si="1245"/>
        <v>CH</v>
      </c>
      <c r="D1931" t="s">
        <v>1954</v>
      </c>
      <c r="E1931" t="str">
        <f t="shared" si="1246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1.278847896949125E-4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7.8855353110390076E-4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7.6229109837670848E-4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2.790366579471072E-4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7.7186524417156079E-5</v>
      </c>
    </row>
    <row r="1932" spans="2:11" x14ac:dyDescent="0.25">
      <c r="B1932" s="5" t="str">
        <f t="shared" si="1247"/>
        <v>SPS2</v>
      </c>
      <c r="C1932" s="5" t="str">
        <f t="shared" si="1245"/>
        <v>CH</v>
      </c>
      <c r="D1932" t="s">
        <v>1955</v>
      </c>
      <c r="E1932" t="str">
        <f t="shared" si="1246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2.5986386435055E-4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0.17930212927333006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0.18309503790473194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0.14810664901277337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1.3098511117112996E-3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4.3519756523303984E-5</v>
      </c>
    </row>
    <row r="1933" spans="2:11" x14ac:dyDescent="0.25">
      <c r="B1933" s="5" t="str">
        <f t="shared" si="1247"/>
        <v>SPS2</v>
      </c>
      <c r="C1933" s="5" t="str">
        <f t="shared" si="1245"/>
        <v>CH</v>
      </c>
      <c r="D1933" t="s">
        <v>1956</v>
      </c>
      <c r="E1933" t="str">
        <f t="shared" si="1246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1.8565014936463601E-3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3.7943539618394743E-3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3.6598367073019502E-3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2.9346826689044215E-3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7.6146872118478697E-5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2.5756862070653627E-5</v>
      </c>
    </row>
    <row r="1934" spans="2:11" x14ac:dyDescent="0.25">
      <c r="B1934" s="5" t="str">
        <f t="shared" si="1247"/>
        <v>SPS2</v>
      </c>
      <c r="C1934" s="5" t="str">
        <f t="shared" si="1245"/>
        <v>CH</v>
      </c>
      <c r="D1934" t="s">
        <v>1957</v>
      </c>
      <c r="E1934" t="str">
        <f t="shared" si="1246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3.7730346420031002E-3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3.9055605067403645E-2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3.6970373588393314E-2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3.0004892630580485E-2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8.8408665791707354E-5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3.0740432744351021E-5</v>
      </c>
    </row>
    <row r="1935" spans="2:11" x14ac:dyDescent="0.25">
      <c r="B1935" s="5" t="str">
        <f t="shared" si="1247"/>
        <v>SPS2</v>
      </c>
      <c r="C1935" s="5" t="str">
        <f t="shared" si="1245"/>
        <v>CH</v>
      </c>
      <c r="D1935" t="s">
        <v>1958</v>
      </c>
      <c r="E1935" t="str">
        <f t="shared" si="1246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0.70636858876244668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0.35318573608534187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247"/>
        <v>SPS2</v>
      </c>
      <c r="C1936" s="5" t="str">
        <f t="shared" si="1245"/>
        <v>CH</v>
      </c>
      <c r="D1936" t="s">
        <v>1959</v>
      </c>
      <c r="E1936" t="str">
        <f t="shared" si="1246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4.4479404428632302E-4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5.0069515367122289E-4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5.4441630579652302E-4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4.1828549201017897E-4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3.4409845746923275E-5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6.1240881283312649E-6</v>
      </c>
    </row>
    <row r="1937" spans="2:11" x14ac:dyDescent="0.25">
      <c r="B1937" s="5" t="str">
        <f t="shared" si="1247"/>
        <v>SPS2</v>
      </c>
      <c r="C1937" s="5" t="str">
        <f t="shared" si="1245"/>
        <v>CH</v>
      </c>
      <c r="D1937" t="s">
        <v>1960</v>
      </c>
      <c r="E1937" t="str">
        <f t="shared" si="1246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6.4569876423197003E-2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6.8522125601414449E-2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6.7926694540327556E-2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5.1509503697828335E-2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2.0881316529941721E-5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4.0413571765370914E-6</v>
      </c>
    </row>
    <row r="1938" spans="2:11" x14ac:dyDescent="0.25">
      <c r="B1938" s="5" t="str">
        <f t="shared" si="1247"/>
        <v>SPS2</v>
      </c>
      <c r="C1938" s="5" t="str">
        <f t="shared" si="1245"/>
        <v>CH</v>
      </c>
      <c r="D1938" t="s">
        <v>1961</v>
      </c>
      <c r="E1938" t="str">
        <f t="shared" si="1246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0.18324172870363001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0.19501157878010714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0.19299389370413278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0.14995602597049881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1.7051780833412678E-5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3.4117688017957234E-6</v>
      </c>
    </row>
    <row r="1939" spans="2:11" x14ac:dyDescent="0.25">
      <c r="B1939" s="5" t="str">
        <f t="shared" si="1247"/>
        <v>SPS2</v>
      </c>
      <c r="C1939" s="5" t="str">
        <f t="shared" si="1245"/>
        <v>CH</v>
      </c>
      <c r="D1939" t="s">
        <v>1962</v>
      </c>
      <c r="E1939" t="str">
        <f t="shared" si="1246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7.1262600828887204E-2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7.9345896955903814E-2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7.8222442416202173E-2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6.1076647663294958E-2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1.5613954616219309E-5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3.194734490786244E-6</v>
      </c>
    </row>
    <row r="1940" spans="2:11" x14ac:dyDescent="0.25">
      <c r="B1940" s="5" t="str">
        <f t="shared" si="1247"/>
        <v>SPS2</v>
      </c>
      <c r="C1940" s="5" t="str">
        <f t="shared" si="1245"/>
        <v>CH</v>
      </c>
      <c r="D1940" t="s">
        <v>1963</v>
      </c>
      <c r="E1940" t="str">
        <f t="shared" si="1246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1.9759285973053501E-5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7.0951260553696503E-5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9.8610746877618799E-5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7.1724311677252901E-5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2.2566267088560399E-5</v>
      </c>
    </row>
    <row r="1941" spans="2:11" x14ac:dyDescent="0.25">
      <c r="B1941" s="5" t="str">
        <f t="shared" si="1247"/>
        <v>SPS2</v>
      </c>
      <c r="C1941" s="5" t="str">
        <f t="shared" si="1245"/>
        <v>CH</v>
      </c>
      <c r="D1941" t="s">
        <v>1964</v>
      </c>
      <c r="E1941" t="str">
        <f t="shared" si="1246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1.0601550700653599E-5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3.3565163206476397E-5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4.5682217947365099E-5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4.2101434254912102E-5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1.4010423874497599E-5</v>
      </c>
    </row>
    <row r="1942" spans="2:11" x14ac:dyDescent="0.25">
      <c r="B1942" s="5" t="str">
        <f t="shared" si="1247"/>
        <v>SPS2</v>
      </c>
      <c r="C1942" s="5" t="str">
        <f t="shared" si="1245"/>
        <v>CH</v>
      </c>
      <c r="D1942" t="s">
        <v>1965</v>
      </c>
      <c r="E1942" t="str">
        <f t="shared" si="1246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1.08412939526842E-5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2.7843363515360301E-5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3.6816014861797402E-5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3.5993875692329799E-5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1.2310737569113801E-5</v>
      </c>
    </row>
    <row r="1943" spans="2:11" x14ac:dyDescent="0.25">
      <c r="B1943" s="5" t="str">
        <f t="shared" si="1247"/>
        <v>SPS2</v>
      </c>
      <c r="C1943" s="5" t="str">
        <f t="shared" si="1245"/>
        <v>CH</v>
      </c>
      <c r="D1943" t="s">
        <v>1966</v>
      </c>
      <c r="E1943" t="str">
        <f t="shared" si="1246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1.00801981116216E-5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2.4891874430261299E-5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3.2517555686105299E-5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3.1682815727931003E-5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1.0871400910635E-5</v>
      </c>
    </row>
    <row r="1944" spans="2:11" x14ac:dyDescent="0.25">
      <c r="B1944" s="5" t="str">
        <f t="shared" si="1247"/>
        <v>SPS2</v>
      </c>
      <c r="C1944" s="5" t="str">
        <f t="shared" si="1245"/>
        <v>CH</v>
      </c>
      <c r="D1944" t="s">
        <v>1967</v>
      </c>
      <c r="E1944" t="str">
        <f t="shared" si="1246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247"/>
        <v>SPS2</v>
      </c>
      <c r="C1945" s="5" t="str">
        <f t="shared" si="1245"/>
        <v>CH</v>
      </c>
      <c r="D1945" t="s">
        <v>1968</v>
      </c>
      <c r="E1945" t="str">
        <f t="shared" si="1246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2.5629355550414398E-4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1.6379790456393282E-4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1.6681357578602685E-4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1.4999608457787379E-5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4.8079569973657396E-6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9.2986221435620099E-7</v>
      </c>
    </row>
    <row r="1946" spans="2:11" x14ac:dyDescent="0.25">
      <c r="B1946" s="5" t="str">
        <f t="shared" si="1247"/>
        <v>SPS2</v>
      </c>
      <c r="C1946" s="5" t="str">
        <f t="shared" si="1245"/>
        <v>CH</v>
      </c>
      <c r="D1946" t="s">
        <v>1969</v>
      </c>
      <c r="E1946" t="str">
        <f t="shared" si="1246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2.6902364593150698E-3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2.8423235322404747E-3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2.8063334967729039E-3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6.5401660272849937E-6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4.6537718695648386E-6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1.071044427014113E-6</v>
      </c>
    </row>
    <row r="1947" spans="2:11" x14ac:dyDescent="0.25">
      <c r="B1947" s="5" t="str">
        <f t="shared" si="1247"/>
        <v>SPS2</v>
      </c>
      <c r="C1947" s="5" t="str">
        <f t="shared" si="1245"/>
        <v>CH</v>
      </c>
      <c r="D1947" t="s">
        <v>1970</v>
      </c>
      <c r="E1947" t="str">
        <f t="shared" si="1246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1.5112174236928E-4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1.6186128502642923E-4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1.6296762104824679E-4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1.7453251252564581E-5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5.1555079396152925E-6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1.2158130648662632E-6</v>
      </c>
    </row>
    <row r="1948" spans="2:11" x14ac:dyDescent="0.25">
      <c r="B1948" s="5" t="str">
        <f t="shared" si="1247"/>
        <v>SPS2</v>
      </c>
      <c r="C1948" s="5" t="str">
        <f t="shared" si="1245"/>
        <v>CH</v>
      </c>
      <c r="D1948" t="s">
        <v>1971</v>
      </c>
      <c r="E1948" t="str">
        <f t="shared" si="1246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2.5372114764592242E-3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2.363645247587432E-3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4.1772796354590594E-6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5.6959502225827233E-6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1.3432348358592821E-6</v>
      </c>
    </row>
    <row r="1949" spans="2:11" x14ac:dyDescent="0.25">
      <c r="B1949" s="5" t="str">
        <f t="shared" si="1247"/>
        <v>SPS2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5.7045446649714577</v>
      </c>
      <c r="G1949" s="3">
        <f t="shared" ref="G1949:K1949" si="1248">SUM(G1950:G1972)</f>
        <v>5.7083427783012874</v>
      </c>
      <c r="H1949" s="3">
        <f t="shared" si="1248"/>
        <v>5.8313440090115209</v>
      </c>
      <c r="I1949" s="3">
        <f t="shared" si="1248"/>
        <v>6.5682407382744579</v>
      </c>
      <c r="J1949" s="3">
        <f t="shared" si="1248"/>
        <v>7.1464761639667955</v>
      </c>
      <c r="K1949" s="3">
        <f t="shared" si="1248"/>
        <v>7.4773744718892932</v>
      </c>
    </row>
    <row r="1950" spans="2:11" x14ac:dyDescent="0.25">
      <c r="B1950" s="5" t="str">
        <f t="shared" si="1247"/>
        <v>SPS2</v>
      </c>
      <c r="C1950" s="5" t="str">
        <f t="shared" ref="C1950:C1972" si="1249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247"/>
        <v>SPS2</v>
      </c>
      <c r="C1951" s="5" t="str">
        <f t="shared" si="1249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5.7053816553716335E-3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1.7512856210819609E-2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2.0324968166903035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2.7672764605598954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2.7344535848892977</v>
      </c>
    </row>
    <row r="1952" spans="2:11" x14ac:dyDescent="0.25">
      <c r="B1952" s="5" t="str">
        <f t="shared" si="1247"/>
        <v>SPS2</v>
      </c>
      <c r="C1952" s="5" t="str">
        <f t="shared" si="1249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4.2689479170099198E-3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8.8417927721229604E-3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1.8957562649979057E-2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0.74862733546635485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0.811451300756176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0.86694153479476943</v>
      </c>
    </row>
    <row r="1953" spans="2:11" x14ac:dyDescent="0.25">
      <c r="B1953" s="5" t="str">
        <f t="shared" si="1247"/>
        <v>SPS2</v>
      </c>
      <c r="C1953" s="5" t="str">
        <f t="shared" si="1249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1.52179304847782E-2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1.9138154532950473E-2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2.5410962204762411E-2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3.5572914542837468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3.4576459028505599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3.7661633831566101</v>
      </c>
    </row>
    <row r="1954" spans="2:11" x14ac:dyDescent="0.25">
      <c r="B1954" s="5" t="str">
        <f t="shared" si="1247"/>
        <v>SPS2</v>
      </c>
      <c r="C1954" s="5" t="str">
        <f t="shared" si="1249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3.6065702122735024E-4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6.7950152274793391E-4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1.0728826889120739E-3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0.22931817622449044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6.6504954103606092E-4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2.8825709747365002E-4</v>
      </c>
    </row>
    <row r="1955" spans="2:11" x14ac:dyDescent="0.25">
      <c r="B1955" s="5" t="str">
        <f t="shared" si="1247"/>
        <v>SPS2</v>
      </c>
      <c r="C1955" s="5" t="str">
        <f t="shared" si="1249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2.1429100818418198E-4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7.9600785414630712E-3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6.8177214616013296E-2</v>
      </c>
    </row>
    <row r="1956" spans="2:11" x14ac:dyDescent="0.25">
      <c r="B1956" s="5" t="str">
        <f t="shared" si="1247"/>
        <v>SPS2</v>
      </c>
      <c r="C1956" s="5" t="str">
        <f t="shared" si="1249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8.9317176626306095E-5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2.8553915364064601E-3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3.81803070057874E-3</v>
      </c>
    </row>
    <row r="1957" spans="2:11" x14ac:dyDescent="0.25">
      <c r="B1957" s="5" t="str">
        <f t="shared" si="1247"/>
        <v>SPS2</v>
      </c>
      <c r="C1957" s="5" t="str">
        <f t="shared" si="1249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4.7865244415901103E-5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9.8563822210435206E-2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3.7431586120687102E-2</v>
      </c>
    </row>
    <row r="1958" spans="2:11" x14ac:dyDescent="0.25">
      <c r="B1958" s="5" t="str">
        <f t="shared" si="1247"/>
        <v>SPS2</v>
      </c>
      <c r="C1958" s="5" t="str">
        <f t="shared" si="1249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1.7357264923054299E-5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7.1397057568882598E-5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2.70477365143296E-5</v>
      </c>
    </row>
    <row r="1959" spans="2:11" x14ac:dyDescent="0.25">
      <c r="B1959" s="5" t="str">
        <f t="shared" si="1247"/>
        <v>SPS2</v>
      </c>
      <c r="C1959" s="5" t="str">
        <f t="shared" si="1249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0.21167565405915201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0.21326051151584033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6.4671706710033895E-6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2.0068101439079397E-5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1.43986085441048E-5</v>
      </c>
    </row>
    <row r="1960" spans="2:11" x14ac:dyDescent="0.25">
      <c r="B1960" s="5" t="str">
        <f t="shared" si="1247"/>
        <v>SPS2</v>
      </c>
      <c r="C1960" s="5" t="str">
        <f t="shared" si="1249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1.3509915609361601E-3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1.9755598307194797E-3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-1.5293388029201283E-6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-8.6528156032455001E-6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5.2742139315850398E-6</v>
      </c>
    </row>
    <row r="1961" spans="2:11" x14ac:dyDescent="0.25">
      <c r="B1961" s="5" t="str">
        <f t="shared" si="1247"/>
        <v>SPS2</v>
      </c>
      <c r="C1961" s="5" t="str">
        <f t="shared" si="1249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1.14971871390513E-3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1.5775569899631101E-3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-3.7293170740899768E-6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-1.0494064883588099E-5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8.5098865570982396E-6</v>
      </c>
    </row>
    <row r="1962" spans="2:11" x14ac:dyDescent="0.25">
      <c r="B1962" s="5" t="str">
        <f t="shared" si="1247"/>
        <v>SPS2</v>
      </c>
      <c r="C1962" s="5" t="str">
        <f t="shared" si="1249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3.4844381980244006E-5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6.2537172225908598E-5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-3.4466757936173986E-6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-9.1037499039456005E-6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1.90578318035473E-6</v>
      </c>
    </row>
    <row r="1963" spans="2:11" x14ac:dyDescent="0.25">
      <c r="B1963" s="5" t="str">
        <f t="shared" si="1247"/>
        <v>SPS2</v>
      </c>
      <c r="C1963" s="5" t="str">
        <f t="shared" si="1249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2.2837355918988438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247"/>
        <v>SPS2</v>
      </c>
      <c r="C1964" s="5" t="str">
        <f t="shared" si="1249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0.44290119969139441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0.9487183233152725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1.1101146297229445E-4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1.6771972485954797E-5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1.29289831195615E-5</v>
      </c>
    </row>
    <row r="1965" spans="2:11" x14ac:dyDescent="0.25">
      <c r="B1965" s="5" t="str">
        <f t="shared" si="1247"/>
        <v>SPS2</v>
      </c>
      <c r="C1965" s="5" t="str">
        <f t="shared" si="1249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0.18454212109728521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0.22699283660488531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0.40008432065688715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-5.702997263996E-6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-2.1899391211836697E-5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0</v>
      </c>
    </row>
    <row r="1966" spans="2:11" x14ac:dyDescent="0.25">
      <c r="B1966" s="5" t="str">
        <f t="shared" si="1247"/>
        <v>SPS2</v>
      </c>
      <c r="C1966" s="5" t="str">
        <f t="shared" si="1249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0.80674521910466312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1.0203805597586093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1.8087220187213522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-6.5894147280570053E-6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-1.94183880172927E-5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0</v>
      </c>
    </row>
    <row r="1967" spans="2:11" x14ac:dyDescent="0.25">
      <c r="B1967" s="5" t="str">
        <f t="shared" si="1247"/>
        <v>SPS2</v>
      </c>
      <c r="C1967" s="5" t="str">
        <f t="shared" si="1249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3.4737346071817489E-3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3.4100469167315571E-4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3.4053878218254474E-4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-3.8243777779800547E-6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-9.1566486333687993E-6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2.3083909593094797E-6</v>
      </c>
    </row>
    <row r="1968" spans="2:11" x14ac:dyDescent="0.25">
      <c r="B1968" s="5" t="str">
        <f t="shared" si="1247"/>
        <v>SPS2</v>
      </c>
      <c r="C1968" s="5" t="str">
        <f t="shared" si="1249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247"/>
        <v>SPS2</v>
      </c>
      <c r="C1969" s="5" t="str">
        <f t="shared" si="1249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4.6249648172596806E-3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6.4038941273712804E-3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3.4419442035849876E-5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3.2425701990883102E-5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2.1465630715807098E-5</v>
      </c>
    </row>
    <row r="1970" spans="2:11" x14ac:dyDescent="0.25">
      <c r="B1970" s="5" t="str">
        <f t="shared" si="1247"/>
        <v>SPS2</v>
      </c>
      <c r="C1970" s="5" t="str">
        <f t="shared" si="1249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4.7056323054481602E-3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7.7603797250756111E-3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8.3597548980998335E-6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-3.7798044080513015E-6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7.0412803421601603E-6</v>
      </c>
    </row>
    <row r="1971" spans="2:11" x14ac:dyDescent="0.25">
      <c r="B1971" s="5" t="str">
        <f t="shared" si="1247"/>
        <v>SPS2</v>
      </c>
      <c r="C1971" s="5" t="str">
        <f t="shared" si="1249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8.4347516873496103E-3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3.5010677812122103E-2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1.8584277300111134E-7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0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0</v>
      </c>
    </row>
    <row r="1972" spans="2:11" x14ac:dyDescent="0.25">
      <c r="B1972" s="5" t="str">
        <f t="shared" ref="B1972:B2035" si="1250">B1971</f>
        <v>SPS2</v>
      </c>
      <c r="C1972" s="5" t="str">
        <f t="shared" si="1249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2.4850114111240101E-5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5.53563408366465E-5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2.5033635020123959E-6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0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0</v>
      </c>
    </row>
    <row r="1973" spans="2:11" x14ac:dyDescent="0.25">
      <c r="B1973" s="5" t="str">
        <f t="shared" si="1250"/>
        <v>SPS2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2.8497717207142732</v>
      </c>
      <c r="G1973" s="3">
        <f t="shared" ref="G1973" si="1251">SUM(G1974:G1996)</f>
        <v>3.0781961987908204</v>
      </c>
      <c r="H1973" s="3">
        <f t="shared" ref="H1973" si="1252">SUM(H1974:H1996)</f>
        <v>2.8876479132925401</v>
      </c>
      <c r="I1973" s="3">
        <f t="shared" ref="I1973" si="1253">SUM(I1974:I1996)</f>
        <v>2.9629135929666592</v>
      </c>
      <c r="J1973" s="3">
        <f t="shared" ref="J1973" si="1254">SUM(J1974:J1996)</f>
        <v>2.9630415998430242</v>
      </c>
      <c r="K1973" s="3">
        <f t="shared" ref="K1973" si="1255">SUM(K1974:K1996)</f>
        <v>2.9630563570338682</v>
      </c>
    </row>
    <row r="1974" spans="2:11" x14ac:dyDescent="0.25">
      <c r="B1974" s="5" t="str">
        <f t="shared" si="1250"/>
        <v>SPS2</v>
      </c>
      <c r="C1974" s="5" t="str">
        <f t="shared" ref="C1974:C1996" si="1256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250"/>
        <v>SPS2</v>
      </c>
      <c r="C1975" s="5" t="str">
        <f t="shared" si="1256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1.8055130754388001E-3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6.8353169664140288E-3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1.1625266732395381E-2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1.4410347947721664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1.4402143361666031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1.480939261743248</v>
      </c>
    </row>
    <row r="1976" spans="2:11" x14ac:dyDescent="0.25">
      <c r="B1976" s="5" t="str">
        <f t="shared" si="1250"/>
        <v>SPS2</v>
      </c>
      <c r="C1976" s="5" t="str">
        <f t="shared" si="1256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3.6251322237802704E-3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3.0740531314882445E-3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4.5972124780731208E-3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1.2479440047551109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1.2470777212023645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1.2140095573732519</v>
      </c>
    </row>
    <row r="1977" spans="2:11" x14ac:dyDescent="0.25">
      <c r="B1977" s="5" t="str">
        <f t="shared" si="1250"/>
        <v>SPS2</v>
      </c>
      <c r="C1977" s="5" t="str">
        <f t="shared" si="1256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8.0340807279396002E-4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1.2598778547956951E-3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1.7128777814009925E-3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0.20923219228314863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0.21058700269105401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0.20332574682656498</v>
      </c>
    </row>
    <row r="1978" spans="2:11" x14ac:dyDescent="0.25">
      <c r="B1978" s="5" t="str">
        <f t="shared" si="1250"/>
        <v>SPS2</v>
      </c>
      <c r="C1978" s="5" t="str">
        <f t="shared" si="1256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1.6317006739065401E-4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3.23653664020438E-4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2.1658892823654173E-4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6.0705366139623398E-4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2.6531392804899403E-4</v>
      </c>
    </row>
    <row r="1979" spans="2:11" x14ac:dyDescent="0.25">
      <c r="B1979" s="5" t="str">
        <f t="shared" si="1250"/>
        <v>SPS2</v>
      </c>
      <c r="C1979" s="5" t="str">
        <f t="shared" si="1256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4.2224780793886598E-5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3.08497467933502E-3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3.2484442800634699E-3</v>
      </c>
    </row>
    <row r="1980" spans="2:11" x14ac:dyDescent="0.25">
      <c r="B1980" s="5" t="str">
        <f t="shared" si="1250"/>
        <v>SPS2</v>
      </c>
      <c r="C1980" s="5" t="str">
        <f t="shared" si="1256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8.8832565550042296E-5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3.7177345976381199E-3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3.5093239080017102E-3</v>
      </c>
    </row>
    <row r="1981" spans="2:11" x14ac:dyDescent="0.25">
      <c r="B1981" s="5" t="str">
        <f t="shared" si="1250"/>
        <v>SPS2</v>
      </c>
      <c r="C1981" s="5" t="str">
        <f t="shared" si="1256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6.4248637087611402E-2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5.7467969189076096E-2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5.7560053929016398E-2</v>
      </c>
    </row>
    <row r="1982" spans="2:11" x14ac:dyDescent="0.25">
      <c r="B1982" s="5" t="str">
        <f t="shared" si="1250"/>
        <v>SPS2</v>
      </c>
      <c r="C1982" s="5" t="str">
        <f t="shared" si="1256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2.23517705447466E-5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1.1159276757626001E-4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5.0572061183228205E-5</v>
      </c>
    </row>
    <row r="1983" spans="2:11" x14ac:dyDescent="0.25">
      <c r="B1983" s="5" t="str">
        <f t="shared" si="1250"/>
        <v>SPS2</v>
      </c>
      <c r="C1983" s="5" t="str">
        <f t="shared" si="1256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8.08770554396359E-3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9.5572544275652985E-3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1.1750595495780319E-5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4.6094002598067299E-5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2.8160261135778299E-5</v>
      </c>
    </row>
    <row r="1984" spans="2:11" x14ac:dyDescent="0.25">
      <c r="B1984" s="5" t="str">
        <f t="shared" si="1250"/>
        <v>SPS2</v>
      </c>
      <c r="C1984" s="5" t="str">
        <f t="shared" si="1256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6.43933548498314E-4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1.1568317771922701E-3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1.4890059336300137E-5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3.0633008462065402E-5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2.5153127746402098E-5</v>
      </c>
    </row>
    <row r="1985" spans="2:11" x14ac:dyDescent="0.25">
      <c r="B1985" s="5" t="str">
        <f t="shared" si="1250"/>
        <v>SPS2</v>
      </c>
      <c r="C1985" s="5" t="str">
        <f t="shared" si="1256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2.81839870312939E-4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4.9262455460708594E-4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5.3333276243351015E-5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1.2232206658749999E-5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4.1897906751895103E-6</v>
      </c>
    </row>
    <row r="1986" spans="2:11" x14ac:dyDescent="0.25">
      <c r="B1986" s="5" t="str">
        <f t="shared" si="1250"/>
        <v>SPS2</v>
      </c>
      <c r="C1986" s="5" t="str">
        <f t="shared" si="1256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6.2248387874747895E-5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1.1756844129852299E-4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1.0277165160859798E-5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-1.3535135990428701E-5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25">
      <c r="B1987" s="5" t="str">
        <f t="shared" si="1250"/>
        <v>SPS2</v>
      </c>
      <c r="C1987" s="5" t="str">
        <f t="shared" si="1256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250"/>
        <v>SPS2</v>
      </c>
      <c r="C1988" s="5" t="str">
        <f t="shared" si="1256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0.84694710101675952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1.0428190197545386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-4.8401347050317303E-6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4.9312937409721608E-5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3.1502970126738895E-5</v>
      </c>
    </row>
    <row r="1989" spans="2:11" x14ac:dyDescent="0.25">
      <c r="B1989" s="5" t="str">
        <f t="shared" si="1250"/>
        <v>SPS2</v>
      </c>
      <c r="C1989" s="5" t="str">
        <f t="shared" si="1256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0.93932680363661414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0.94063049690657308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-5.6206927656014122E-6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3.4044424890820195E-5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2.74491236923298E-5</v>
      </c>
    </row>
    <row r="1990" spans="2:11" x14ac:dyDescent="0.25">
      <c r="B1990" s="5" t="str">
        <f t="shared" si="1250"/>
        <v>SPS2</v>
      </c>
      <c r="C1990" s="5" t="str">
        <f t="shared" si="1256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0.20453697631283088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0.19973772062691178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0.20013061569455659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-9.6614906624093583E-7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-1.2892333693317999E-6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0</v>
      </c>
    </row>
    <row r="1991" spans="2:11" x14ac:dyDescent="0.25">
      <c r="B1991" s="5" t="str">
        <f t="shared" si="1250"/>
        <v>SPS2</v>
      </c>
      <c r="C1991" s="5" t="str">
        <f t="shared" si="1256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1.2308384747417704E-2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4.7041064276605494E-4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5.2653217776060779E-4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-4.6446476154170714E-6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-1.7110939334062001E-5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25">
      <c r="B1992" s="5" t="str">
        <f t="shared" si="1250"/>
        <v>SPS2</v>
      </c>
      <c r="C1992" s="5" t="str">
        <f t="shared" si="1256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250"/>
        <v>SPS2</v>
      </c>
      <c r="C1993" s="5" t="str">
        <f t="shared" si="1256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4.0497400506537204E-3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5.5534275892645804E-3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2.5461641771600522E-6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2.2096063944592202E-5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1.7939235421714497E-5</v>
      </c>
    </row>
    <row r="1994" spans="2:11" x14ac:dyDescent="0.25">
      <c r="B1994" s="5" t="str">
        <f t="shared" si="1250"/>
        <v>SPS2</v>
      </c>
      <c r="C1994" s="5" t="str">
        <f t="shared" si="1256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5.0636339982374498E-4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1.2036748215910201E-3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1.7230505387198277E-6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1.0737552711102102E-5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1.36884756912523E-5</v>
      </c>
    </row>
    <row r="1995" spans="2:11" x14ac:dyDescent="0.25">
      <c r="B1995" s="5" t="str">
        <f t="shared" si="1250"/>
        <v>SPS2</v>
      </c>
      <c r="C1995" s="5" t="str">
        <f t="shared" si="1256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2.6611991272313301E-4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5.7209785830432001E-4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5.6731561288819767E-6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0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0</v>
      </c>
    </row>
    <row r="1996" spans="2:11" x14ac:dyDescent="0.25">
      <c r="B1996" s="5" t="str">
        <f t="shared" si="1250"/>
        <v>SPS2</v>
      </c>
      <c r="C1996" s="5" t="str">
        <f t="shared" si="1256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4.9179877447405896E-5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1.0712472316187301E-4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-1.5581943209160035E-7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0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0</v>
      </c>
    </row>
    <row r="1997" spans="2:11" x14ac:dyDescent="0.25">
      <c r="B1997" s="5" t="str">
        <f t="shared" si="1250"/>
        <v>SPS2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388.22059663030643</v>
      </c>
      <c r="G1997" s="3">
        <f t="shared" ref="G1997:K1997" si="1257">SUM(G1998:G2006)</f>
        <v>399.40181689077116</v>
      </c>
      <c r="H1997" s="3">
        <f t="shared" si="1257"/>
        <v>406.7483034115935</v>
      </c>
      <c r="I1997" s="3">
        <f t="shared" si="1257"/>
        <v>418.99397203723817</v>
      </c>
      <c r="J1997" s="3">
        <f t="shared" si="1257"/>
        <v>466.9201460468733</v>
      </c>
      <c r="K1997" s="3">
        <f t="shared" si="1257"/>
        <v>506.29176009053236</v>
      </c>
    </row>
    <row r="1998" spans="2:11" x14ac:dyDescent="0.25">
      <c r="B1998" s="5" t="str">
        <f t="shared" si="1250"/>
        <v>SPS2</v>
      </c>
      <c r="C1998" s="5" t="str">
        <f t="shared" ref="C1998:C2006" si="1258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250"/>
        <v>SPS2</v>
      </c>
      <c r="C1999" s="5" t="str">
        <f t="shared" si="1258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0.72751554304283217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3.6552065627362822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5.3949456910896831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116.8200997817152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418.12129410563125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492.69835890963037</v>
      </c>
    </row>
    <row r="2000" spans="2:11" x14ac:dyDescent="0.25">
      <c r="B2000" s="5" t="str">
        <f t="shared" si="1250"/>
        <v>SPS2</v>
      </c>
      <c r="C2000" s="5" t="str">
        <f t="shared" si="1258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1.0751512687448601E-2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1.7063045896040799E-2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2.5217393301272099E-2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4.0489115069542887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7.4028694238151207</v>
      </c>
    </row>
    <row r="2001" spans="2:11" x14ac:dyDescent="0.25">
      <c r="B2001" s="5" t="str">
        <f t="shared" si="1250"/>
        <v>SPS2</v>
      </c>
      <c r="C2001" s="5" t="str">
        <f t="shared" si="1258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30.634653123718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250"/>
        <v>SPS2</v>
      </c>
      <c r="C2002" s="5" t="str">
        <f t="shared" si="1258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1.7611201865920023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3.5077425109791491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15.259236227403395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35.185779940419806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32.56539516191971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5.0735306027029816</v>
      </c>
    </row>
    <row r="2003" spans="2:11" x14ac:dyDescent="0.25">
      <c r="B2003" s="5" t="str">
        <f t="shared" si="1250"/>
        <v>SPS2</v>
      </c>
      <c r="C2003" s="5" t="str">
        <f t="shared" si="1258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152.66197676225298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250"/>
        <v>SPS2</v>
      </c>
      <c r="C2004" s="5" t="str">
        <f t="shared" si="1258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106.16884654419556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125.17002380608187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125.41408269250914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71.183722113330433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6.401350781606506E-2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8.6001942573556735E-3</v>
      </c>
    </row>
    <row r="2005" spans="2:11" x14ac:dyDescent="0.25">
      <c r="B2005" s="5" t="str">
        <f t="shared" si="1250"/>
        <v>SPS2</v>
      </c>
      <c r="C2005" s="5" t="str">
        <f t="shared" si="1258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24.562311115096598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73.9612238077288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103.47713504139057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12.118221559838659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1.1080086324536573</v>
      </c>
    </row>
    <row r="2006" spans="2:11" x14ac:dyDescent="0.25">
      <c r="B2006" s="5" t="str">
        <f t="shared" si="1250"/>
        <v>SPS2</v>
      </c>
      <c r="C2006" s="5" t="str">
        <f t="shared" si="1258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2.6681143564760812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2.5201147165231093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2.1051220609955039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3.6844337475818519E-3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2.3102047133022703E-3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3.9232767283086501E-4</v>
      </c>
    </row>
    <row r="2007" spans="2:11" x14ac:dyDescent="0.25">
      <c r="B2007" s="5" t="str">
        <f t="shared" si="1250"/>
        <v>SPS2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41.465842964524732</v>
      </c>
      <c r="G2007" s="3">
        <f t="shared" ref="G2007" si="1259">SUM(G2008:G2016)</f>
        <v>42.399863888417755</v>
      </c>
      <c r="H2007" s="3">
        <f t="shared" ref="H2007" si="1260">SUM(H2008:H2016)</f>
        <v>43.458931464837228</v>
      </c>
      <c r="I2007" s="3">
        <f t="shared" ref="I2007" si="1261">SUM(I2008:I2016)</f>
        <v>45.294720889978983</v>
      </c>
      <c r="J2007" s="3">
        <f t="shared" ref="J2007" si="1262">SUM(J2008:J2016)</f>
        <v>49.236706915927513</v>
      </c>
      <c r="K2007" s="3">
        <f t="shared" ref="K2007" si="1263">SUM(K2008:K2016)</f>
        <v>53.276503866458853</v>
      </c>
    </row>
    <row r="2008" spans="2:11" x14ac:dyDescent="0.25">
      <c r="B2008" s="5" t="str">
        <f t="shared" si="1250"/>
        <v>SPS2</v>
      </c>
      <c r="C2008" s="5" t="str">
        <f t="shared" ref="C2008:C2016" si="1264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250"/>
        <v>SPS2</v>
      </c>
      <c r="C2009" s="5" t="str">
        <f t="shared" si="1264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2.6602444008181896E-2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2.1971866456517074E-2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2.7062111912706199E-2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3.4740485105706903E-2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14.3891228450764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50.085225843363894</v>
      </c>
    </row>
    <row r="2010" spans="2:11" x14ac:dyDescent="0.25">
      <c r="B2010" s="5" t="str">
        <f t="shared" si="1250"/>
        <v>SPS2</v>
      </c>
      <c r="C2010" s="5" t="str">
        <f t="shared" si="1264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1.010752222089778E-2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4.0406629649894645E-2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4.0701848946071741E-2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1.1586723359521E-2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1.0168677902840502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1.09924554082127</v>
      </c>
    </row>
    <row r="2011" spans="2:11" x14ac:dyDescent="0.25">
      <c r="B2011" s="5" t="str">
        <f t="shared" si="1250"/>
        <v>SPS2</v>
      </c>
      <c r="C2011" s="5" t="str">
        <f t="shared" si="1264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250"/>
        <v>SPS2</v>
      </c>
      <c r="C2012" s="5" t="str">
        <f t="shared" si="1264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250"/>
        <v>SPS2</v>
      </c>
      <c r="C2013" s="5" t="str">
        <f t="shared" si="1264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250"/>
        <v>SPS2</v>
      </c>
      <c r="C2014" s="5" t="str">
        <f t="shared" si="1264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11.645168234168228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12.243990748954392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10.216012741179348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0.98338000311504103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3.8873274928320398E-3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3.7152198469307961E-4</v>
      </c>
    </row>
    <row r="2015" spans="2:11" x14ac:dyDescent="0.25">
      <c r="B2015" s="5" t="str">
        <f t="shared" si="1250"/>
        <v>SPS2</v>
      </c>
      <c r="C2015" s="5" t="str">
        <f t="shared" si="1264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4.33639598764728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13.350495891843899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34.361838304597299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33.810985110475002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2.0905905011551922</v>
      </c>
    </row>
    <row r="2016" spans="2:11" x14ac:dyDescent="0.25">
      <c r="B2016" s="5" t="str">
        <f t="shared" si="1250"/>
        <v>SPS2</v>
      </c>
      <c r="C2016" s="5" t="str">
        <f t="shared" si="1264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0.12196476412741605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5.0031989042974047E-2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4.9992204288507126E-2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1.5842040468087081E-2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1.584384259922848E-2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1.0704591338102801E-3</v>
      </c>
    </row>
    <row r="2017" spans="2:11" x14ac:dyDescent="0.25">
      <c r="B2017" s="5" t="str">
        <f t="shared" si="1250"/>
        <v>SPS2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265">SUM(F2018,F2022,F2025)</f>
        <v>3.3809320624749898E-4</v>
      </c>
      <c r="G2017" s="3">
        <f t="shared" ref="G2017" si="1266">SUM(G2018,G2022,G2025)</f>
        <v>9.996740376913703E-4</v>
      </c>
      <c r="H2017" s="3">
        <f t="shared" ref="H2017" si="1267">SUM(H2018,H2022,H2025)</f>
        <v>2.4179261271651286E-3</v>
      </c>
      <c r="I2017" s="3">
        <f t="shared" ref="I2017" si="1268">SUM(I2018,I2022,I2025)</f>
        <v>1.7975817269101331</v>
      </c>
      <c r="J2017" s="3">
        <f t="shared" ref="J2017" si="1269">SUM(J2018,J2022,J2025)</f>
        <v>3.5736284676315777</v>
      </c>
      <c r="K2017" s="3">
        <f t="shared" ref="K2017" si="1270">SUM(K2018,K2022,K2025)</f>
        <v>8.9918354221298564</v>
      </c>
    </row>
    <row r="2018" spans="2:11" x14ac:dyDescent="0.25">
      <c r="B2018" s="5" t="str">
        <f t="shared" si="1250"/>
        <v>SPS2</v>
      </c>
      <c r="C2018" s="5" t="str">
        <f t="shared" ref="C2018:C2027" si="1271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3.3809320624749898E-4</v>
      </c>
      <c r="G2018" s="1" cm="1">
        <f t="array" ref="G2018">SUMPRODUCT(ISNUMBER(SEARCH("SUP_ELCH2*",[1]OUT_SyntheticFuels!$C$4:$C$1000))*1,("Var_cap"=[1]OUT_SyntheticFuels!$B$4:$B$1000)*1,[1]OUT_SyntheticFuels!F$4:F$1000)</f>
        <v>9.996740376913703E-4</v>
      </c>
      <c r="H2018" s="1" cm="1">
        <f t="array" ref="H2018">SUMPRODUCT(ISNUMBER(SEARCH("SUP_ELCH2*",[1]OUT_SyntheticFuels!$C$4:$C$1000))*1,("Var_cap"=[1]OUT_SyntheticFuels!$B$4:$B$1000)*1,[1]OUT_SyntheticFuels!G$4:G$1000)</f>
        <v>2.4179261271651286E-3</v>
      </c>
      <c r="I2018" s="1" cm="1">
        <f t="array" ref="I2018">SUMPRODUCT(ISNUMBER(SEARCH("SUP_ELCH2*",[1]OUT_SyntheticFuels!$C$4:$C$1000))*1,("Var_cap"=[1]OUT_SyntheticFuels!$B$4:$B$1000)*1,[1]OUT_SyntheticFuels!H$4:H$1000)</f>
        <v>1.7975228797050331</v>
      </c>
      <c r="J2018" s="1" cm="1">
        <f t="array" ref="J2018">SUMPRODUCT(ISNUMBER(SEARCH("SUP_ELCH2*",[1]OUT_SyntheticFuels!$C$4:$C$1000))*1,("Var_cap"=[1]OUT_SyntheticFuels!$B$4:$B$1000)*1,[1]OUT_SyntheticFuels!I$4:I$1000)</f>
        <v>3.3632267037372232</v>
      </c>
      <c r="K2018" s="1" cm="1">
        <f t="array" ref="K2018">SUMPRODUCT(ISNUMBER(SEARCH("SUP_ELCH2*",[1]OUT_SyntheticFuels!$C$4:$C$1000))*1,("Var_cap"=[1]OUT_SyntheticFuels!$B$4:$B$1000)*1,[1]OUT_SyntheticFuels!J$4:J$1000)</f>
        <v>8.3653076131795263</v>
      </c>
    </row>
    <row r="2019" spans="2:11" x14ac:dyDescent="0.25">
      <c r="B2019" s="5" t="str">
        <f t="shared" si="1250"/>
        <v>SPS2</v>
      </c>
      <c r="C2019" s="5" t="str">
        <f t="shared" si="1271"/>
        <v>CH</v>
      </c>
      <c r="D2019" t="s">
        <v>2146</v>
      </c>
      <c r="E2019" t="s">
        <v>2155</v>
      </c>
      <c r="F2019" s="1">
        <f t="shared" ref="F2019" si="1272">F2018-F2020-F2021</f>
        <v>3.3809320624749898E-4</v>
      </c>
      <c r="G2019" s="1">
        <f t="shared" ref="G2019" si="1273">G2018-G2020-G2021</f>
        <v>9.996740376913703E-4</v>
      </c>
      <c r="H2019" s="1">
        <f t="shared" ref="H2019" si="1274">H2018-H2020-H2021</f>
        <v>2.4179261271651286E-3</v>
      </c>
      <c r="I2019" s="1">
        <f t="shared" ref="I2019" si="1275">I2018-I2020-I2021</f>
        <v>0.77342195515631307</v>
      </c>
      <c r="J2019" s="1">
        <f t="shared" ref="J2019" si="1276">J2018-J2020-J2021</f>
        <v>1.9187870146543438</v>
      </c>
      <c r="K2019" s="1">
        <f t="shared" ref="K2019" si="1277">K2018-K2020-K2021</f>
        <v>3.8563416205853782</v>
      </c>
    </row>
    <row r="2020" spans="2:11" x14ac:dyDescent="0.25">
      <c r="B2020" s="5" t="str">
        <f t="shared" si="1250"/>
        <v>SPS2</v>
      </c>
      <c r="C2020" s="5" t="str">
        <f t="shared" si="1271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1.02410092454872</v>
      </c>
      <c r="J2020" s="1" cm="1">
        <f t="array" ref="J2020">SUMPRODUCT(ISNUMBER(SEARCH("SUP_ELCH2*D",[1]OUT_SyntheticFuels!$C$4:$C$1000))*1,("Var_cap"=[1]OUT_SyntheticFuels!$B$4:$B$1000)*1,[1]OUT_SyntheticFuels!I$4:I$1000)</f>
        <v>1.44384458790017</v>
      </c>
      <c r="K2020" s="1" cm="1">
        <f t="array" ref="K2020">SUMPRODUCT(ISNUMBER(SEARCH("SUP_ELCH2*D",[1]OUT_SyntheticFuels!$C$4:$C$1000))*1,("Var_cap"=[1]OUT_SyntheticFuels!$B$4:$B$1000)*1,[1]OUT_SyntheticFuels!J$4:J$1000)</f>
        <v>4.5083510161496703</v>
      </c>
    </row>
    <row r="2021" spans="2:11" x14ac:dyDescent="0.25">
      <c r="B2021" s="5" t="str">
        <f t="shared" si="1250"/>
        <v>SPS2</v>
      </c>
      <c r="C2021" s="5" t="str">
        <f t="shared" si="1271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5.9510118270939797E-4</v>
      </c>
      <c r="K2021" s="1" cm="1">
        <f t="array" ref="K2021">SUMPRODUCT(ISNUMBER(SEARCH("SUP_ELCH2*SOEC*",[1]OUT_SyntheticFuels!$C$4:$C$1000))*1,("Var_cap"=[1]OUT_SyntheticFuels!$B$4:$B$1000)*1,[1]OUT_SyntheticFuels!J$4:J$1000)</f>
        <v>6.149764444776289E-4</v>
      </c>
    </row>
    <row r="2022" spans="2:11" x14ac:dyDescent="0.25">
      <c r="B2022" s="5" t="str">
        <f t="shared" si="1250"/>
        <v>SPS2</v>
      </c>
      <c r="C2022" s="5" t="str">
        <f t="shared" si="1271"/>
        <v>CH</v>
      </c>
      <c r="D2022" t="s">
        <v>2149</v>
      </c>
      <c r="E2022" t="s">
        <v>2155</v>
      </c>
      <c r="F2022" s="1">
        <f t="shared" ref="F2022" si="1278">SUM(F2023:F2024)</f>
        <v>0</v>
      </c>
      <c r="G2022" s="1">
        <f t="shared" ref="G2022" si="1279">SUM(G2023:G2024)</f>
        <v>0</v>
      </c>
      <c r="H2022" s="1">
        <f t="shared" ref="H2022" si="1280">SUM(H2023:H2024)</f>
        <v>0</v>
      </c>
      <c r="I2022" s="1">
        <f t="shared" ref="I2022" si="1281">SUM(I2023:I2024)</f>
        <v>8.45238593041717E-7</v>
      </c>
      <c r="J2022" s="1">
        <f t="shared" ref="J2022" si="1282">SUM(J2023:J2024)</f>
        <v>3.088228877422871E-6</v>
      </c>
      <c r="K2022" s="1">
        <f t="shared" ref="K2022" si="1283">SUM(K2023:K2024)</f>
        <v>1.2783823116214942E-4</v>
      </c>
    </row>
    <row r="2023" spans="2:11" x14ac:dyDescent="0.25">
      <c r="B2023" s="5" t="str">
        <f t="shared" si="1250"/>
        <v>SPS2</v>
      </c>
      <c r="C2023" s="5" t="str">
        <f t="shared" si="1271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8.45238593041717E-7</v>
      </c>
      <c r="J2023" s="1" cm="1">
        <f t="array" ref="J2023">SUMPRODUCT(ISNUMBER(SEARCH("SUP_NGAH2",[1]OUT_SyntheticFuels!$C$4:$C$1000))*1,("Var_cap"=[1]OUT_SyntheticFuels!$B$4:$B$1000)*1,[1]OUT_SyntheticFuels!I$4:I$1000)-J2024</f>
        <v>2.4667497917121539E-6</v>
      </c>
      <c r="K2023" s="1" cm="1">
        <f t="array" ref="K2023">SUMPRODUCT(ISNUMBER(SEARCH("SUP_NGAH2",[1]OUT_SyntheticFuels!$C$4:$C$1000))*1,("Var_cap"=[1]OUT_SyntheticFuels!$B$4:$B$1000)*1,[1]OUT_SyntheticFuels!J$4:J$1000)-K2024</f>
        <v>6.7963228164178631E-5</v>
      </c>
    </row>
    <row r="2024" spans="2:11" x14ac:dyDescent="0.25">
      <c r="B2024" s="5" t="str">
        <f t="shared" si="1250"/>
        <v>SPS2</v>
      </c>
      <c r="C2024" s="5" t="str">
        <f t="shared" si="1271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6.2147908571071702E-7</v>
      </c>
      <c r="K2024" s="1" cm="1">
        <f t="array" ref="K2024">SUMPRODUCT(ISNUMBER(SEARCH("SUP_NGAH2CCS",[1]OUT_SyntheticFuels!$C$4:$C$1000))*1,("Var_cap"=[1]OUT_SyntheticFuels!$B$4:$B$1000)*1,[1]OUT_SyntheticFuels!J$4:J$1000)</f>
        <v>5.9875002997970787E-5</v>
      </c>
    </row>
    <row r="2025" spans="2:11" x14ac:dyDescent="0.25">
      <c r="B2025" s="5" t="str">
        <f t="shared" si="1250"/>
        <v>SPS2</v>
      </c>
      <c r="C2025" s="5" t="str">
        <f t="shared" si="1271"/>
        <v>CH</v>
      </c>
      <c r="D2025" t="s">
        <v>2152</v>
      </c>
      <c r="E2025" t="s">
        <v>2155</v>
      </c>
      <c r="F2025" s="1">
        <f t="shared" ref="F2025" si="1284">SUM(F2026:F2027)</f>
        <v>0</v>
      </c>
      <c r="G2025" s="1">
        <f t="shared" ref="G2025" si="1285">SUM(G2026:G2027)</f>
        <v>0</v>
      </c>
      <c r="H2025" s="1">
        <f t="shared" ref="H2025" si="1286">SUM(H2026:H2027)</f>
        <v>0</v>
      </c>
      <c r="I2025" s="1">
        <f t="shared" ref="I2025" si="1287">SUM(I2026:I2027)</f>
        <v>5.8001966506766197E-5</v>
      </c>
      <c r="J2025" s="1">
        <f t="shared" ref="J2025" si="1288">SUM(J2026:J2027)</f>
        <v>0.21039867566547699</v>
      </c>
      <c r="K2025" s="1">
        <f t="shared" ref="K2025" si="1289">SUM(K2026:K2027)</f>
        <v>0.62639997071916897</v>
      </c>
    </row>
    <row r="2026" spans="2:11" x14ac:dyDescent="0.25">
      <c r="B2026" s="5" t="str">
        <f t="shared" si="1250"/>
        <v>SPS2</v>
      </c>
      <c r="C2026" s="5" t="str">
        <f t="shared" si="1271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5.8001966506766197E-5</v>
      </c>
      <c r="J2026" s="1" cm="1">
        <f t="array" ref="J2026">SUMPRODUCT(ISNUMBER(SEARCH("SUP_WODH2",[1]OUT_SyntheticFuels!$C$4:$C$1000))*1,("Var_cap"=[1]OUT_SyntheticFuels!$B$4:$B$1000)*1,[1]OUT_SyntheticFuels!I$4:I$1000)-J2027</f>
        <v>0.21039867566547699</v>
      </c>
      <c r="K2026" s="1" cm="1">
        <f t="array" ref="K2026">SUMPRODUCT(ISNUMBER(SEARCH("SUP_WODH2",[1]OUT_SyntheticFuels!$C$4:$C$1000))*1,("Var_cap"=[1]OUT_SyntheticFuels!$B$4:$B$1000)*1,[1]OUT_SyntheticFuels!J$4:J$1000)-K2027</f>
        <v>5.5166201916629909E-3</v>
      </c>
    </row>
    <row r="2027" spans="2:11" x14ac:dyDescent="0.25">
      <c r="B2027" s="5" t="str">
        <f t="shared" si="1250"/>
        <v>SPS2</v>
      </c>
      <c r="C2027" s="5" t="str">
        <f t="shared" si="1271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0.62088335052750598</v>
      </c>
    </row>
    <row r="2028" spans="2:11" x14ac:dyDescent="0.25">
      <c r="B2028" s="5" t="str">
        <f t="shared" si="1250"/>
        <v>SPS2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si="1250"/>
        <v>SPS2</v>
      </c>
      <c r="C2029" s="5" t="str">
        <f t="shared" ref="C2029:C2044" si="129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1.8857587909455034E-2</v>
      </c>
      <c r="G2029" s="7" cm="1">
        <f t="array" ref="G2029">SUMPRODUCT(("CT_CWODBDS"=[1]OUT_SyntheticFuels!$C$4:$C$1000)*1,("Var_cap"=[1]OUT_SyntheticFuels!$B$4:$B$1000)*1,[1]OUT_SyntheticFuels!F$4:F$1000)</f>
        <v>1.8848452176198412E-2</v>
      </c>
      <c r="H2029" s="7" cm="1">
        <f t="array" ref="H2029">SUMPRODUCT(("CT_CWODBDS"=[1]OUT_SyntheticFuels!$C$4:$C$1000)*1,("Var_cap"=[1]OUT_SyntheticFuels!$B$4:$B$1000)*1,[1]OUT_SyntheticFuels!G$4:G$1000)</f>
        <v>2.2342863840922184E-3</v>
      </c>
      <c r="I2029" s="7" cm="1">
        <f t="array" ref="I2029">SUMPRODUCT(("CT_CWODBDS"=[1]OUT_SyntheticFuels!$C$4:$C$1000)*1,("Var_cap"=[1]OUT_SyntheticFuels!$B$4:$B$1000)*1,[1]OUT_SyntheticFuels!H$4:H$1000)</f>
        <v>2.2268739527852924E-3</v>
      </c>
      <c r="J2029" s="7" cm="1">
        <f t="array" ref="J2029">SUMPRODUCT(("CT_CWODBDS"=[1]OUT_SyntheticFuels!$C$4:$C$1000)*1,("Var_cap"=[1]OUT_SyntheticFuels!$B$4:$B$1000)*1,[1]OUT_SyntheticFuels!I$4:I$1000)</f>
        <v>1.3209353972306298E-3</v>
      </c>
      <c r="K2029" s="7" cm="1">
        <f t="array" ref="K2029">SUMPRODUCT(("CT_CWODBDS"=[1]OUT_SyntheticFuels!$C$4:$C$1000)*1,("Var_cap"=[1]OUT_SyntheticFuels!$B$4:$B$1000)*1,[1]OUT_SyntheticFuels!J$4:J$1000)</f>
        <v>1.1123705788236705E-3</v>
      </c>
    </row>
    <row r="2030" spans="2:11" x14ac:dyDescent="0.25">
      <c r="B2030" s="5" t="str">
        <f t="shared" si="1250"/>
        <v>SPS2</v>
      </c>
      <c r="C2030" s="5" t="str">
        <f t="shared" si="129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4.2442438810989997E-5</v>
      </c>
      <c r="K2030" s="7" cm="1">
        <f t="array" ref="K2030">SUMPRODUCT(("CT_CWODBDSCCS"=[1]OUT_SyntheticFuels!$C$4:$C$1000)*1,("Var_cap"=[1]OUT_SyntheticFuels!$B$4:$B$1000)*1,[1]OUT_SyntheticFuels!J$4:J$1000)</f>
        <v>0.34931026023671502</v>
      </c>
    </row>
    <row r="2031" spans="2:11" x14ac:dyDescent="0.25">
      <c r="B2031" s="5" t="str">
        <f t="shared" si="1250"/>
        <v>SPS2</v>
      </c>
      <c r="C2031" s="5" t="str">
        <f t="shared" si="129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3.4506292026074095E-2</v>
      </c>
      <c r="G2031" s="7" cm="1">
        <f t="array" ref="G2031">SUMPRODUCT(("CT_CWODETH"=[1]OUT_SyntheticFuels!$C$4:$C$1000)*1,("Var_cap"=[1]OUT_SyntheticFuels!$B$4:$B$1000)*1,[1]OUT_SyntheticFuels!F$4:F$1000)</f>
        <v>1.5367142632067635E-3</v>
      </c>
      <c r="H2031" s="7" cm="1">
        <f t="array" ref="H2031">SUMPRODUCT(("CT_CWODETH"=[1]OUT_SyntheticFuels!$C$4:$C$1000)*1,("Var_cap"=[1]OUT_SyntheticFuels!$B$4:$B$1000)*1,[1]OUT_SyntheticFuels!G$4:G$1000)</f>
        <v>1.5365554058462544E-3</v>
      </c>
      <c r="I2031" s="7" cm="1">
        <f t="array" ref="I2031">SUMPRODUCT(("CT_CWODETH"=[1]OUT_SyntheticFuels!$C$4:$C$1000)*1,("Var_cap"=[1]OUT_SyntheticFuels!$B$4:$B$1000)*1,[1]OUT_SyntheticFuels!H$4:H$1000)</f>
        <v>1.5355633558981618E-3</v>
      </c>
      <c r="J2031" s="7" cm="1">
        <f t="array" ref="J2031">SUMPRODUCT(("CT_CWODETH"=[1]OUT_SyntheticFuels!$C$4:$C$1000)*1,("Var_cap"=[1]OUT_SyntheticFuels!$B$4:$B$1000)*1,[1]OUT_SyntheticFuels!I$4:I$1000)</f>
        <v>4.0088745949398361E-5</v>
      </c>
      <c r="K2031" s="7" cm="1">
        <f t="array" ref="K2031">SUMPRODUCT(("CT_CWODETH"=[1]OUT_SyntheticFuels!$C$4:$C$1000)*1,("Var_cap"=[1]OUT_SyntheticFuels!$B$4:$B$1000)*1,[1]OUT_SyntheticFuels!J$4:J$1000)</f>
        <v>3.0182440131502536E-5</v>
      </c>
    </row>
    <row r="2032" spans="2:11" x14ac:dyDescent="0.25">
      <c r="B2032" s="5" t="str">
        <f t="shared" si="1250"/>
        <v>SPS2</v>
      </c>
      <c r="C2032" s="5" t="str">
        <f t="shared" si="129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2.1638173382916299E-5</v>
      </c>
      <c r="K2032" s="7" cm="1">
        <f t="array" ref="K2032">SUMPRODUCT(("CT_CWODETHCCS"=[1]OUT_SyntheticFuels!$C$4:$C$1000)*1,("Var_cap"=[1]OUT_SyntheticFuels!$B$4:$B$1000)*1,[1]OUT_SyntheticFuels!J$4:J$1000)</f>
        <v>3.8874774141920497E-2</v>
      </c>
    </row>
    <row r="2033" spans="2:11" x14ac:dyDescent="0.25">
      <c r="B2033" s="5" t="str">
        <f t="shared" si="1250"/>
        <v>SPS2</v>
      </c>
      <c r="C2033" s="5" t="str">
        <f t="shared" si="129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5.02989305761165E-2</v>
      </c>
      <c r="G2033" s="7" cm="1">
        <f t="array" ref="G2033">SUMPRODUCT(("SUP_MNRBIO"=[1]OUT_SyntheticFuels!$C$4:$C$1000)*1,("Var_cap"=[1]OUT_SyntheticFuels!$B$4:$B$1000)*1,[1]OUT_SyntheticFuels!F$4:F$1000)</f>
        <v>0.13278504929015764</v>
      </c>
      <c r="H2033" s="7" cm="1">
        <f t="array" ref="H2033">SUMPRODUCT(("SUP_MNRBIO"=[1]OUT_SyntheticFuels!$C$4:$C$1000)*1,("Var_cap"=[1]OUT_SyntheticFuels!$B$4:$B$1000)*1,[1]OUT_SyntheticFuels!G$4:G$1000)</f>
        <v>0.13278732715891586</v>
      </c>
      <c r="I2033" s="7" cm="1">
        <f t="array" ref="I2033">SUMPRODUCT(("SUP_MNRBIO"=[1]OUT_SyntheticFuels!$C$4:$C$1000)*1,("Var_cap"=[1]OUT_SyntheticFuels!$B$4:$B$1000)*1,[1]OUT_SyntheticFuels!H$4:H$1000)</f>
        <v>0.2215337445212614</v>
      </c>
      <c r="J2033" s="7" cm="1">
        <f t="array" ref="J2033">SUMPRODUCT(("SUP_MNRBIO"=[1]OUT_SyntheticFuels!$C$4:$C$1000)*1,("Var_cap"=[1]OUT_SyntheticFuels!$B$4:$B$1000)*1,[1]OUT_SyntheticFuels!I$4:I$1000)</f>
        <v>0.24274975547639144</v>
      </c>
      <c r="K2033" s="7" cm="1">
        <f t="array" ref="K2033">SUMPRODUCT(("SUP_MNRBIO"=[1]OUT_SyntheticFuels!$C$4:$C$1000)*1,("Var_cap"=[1]OUT_SyntheticFuels!$B$4:$B$1000)*1,[1]OUT_SyntheticFuels!J$4:J$1000)</f>
        <v>0.34965180913044008</v>
      </c>
    </row>
    <row r="2034" spans="2:11" x14ac:dyDescent="0.25">
      <c r="B2034" s="5" t="str">
        <f t="shared" si="1250"/>
        <v>SPS2</v>
      </c>
      <c r="C2034" s="5" t="str">
        <f t="shared" si="129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0.21266983233307518</v>
      </c>
      <c r="G2034" s="7" cm="1">
        <f t="array" ref="G2034">SUMPRODUCT(("SUP_WSTBIO"=[1]OUT_SyntheticFuels!$C$4:$C$1000)*1,("Var_cap"=[1]OUT_SyntheticFuels!$B$4:$B$1000)*1,[1]OUT_SyntheticFuels!F$4:F$1000)</f>
        <v>0.21560668817707482</v>
      </c>
      <c r="H2034" s="7" cm="1">
        <f t="array" ref="H2034">SUMPRODUCT(("SUP_WSTBIO"=[1]OUT_SyntheticFuels!$C$4:$C$1000)*1,("Var_cap"=[1]OUT_SyntheticFuels!$B$4:$B$1000)*1,[1]OUT_SyntheticFuels!G$4:G$1000)</f>
        <v>0.21559942893170744</v>
      </c>
      <c r="I2034" s="7" cm="1">
        <f t="array" ref="I2034">SUMPRODUCT(("SUP_WSTBIO"=[1]OUT_SyntheticFuels!$C$4:$C$1000)*1,("Var_cap"=[1]OUT_SyntheticFuels!$B$4:$B$1000)*1,[1]OUT_SyntheticFuels!H$4:H$1000)</f>
        <v>0.26146589181293189</v>
      </c>
      <c r="J2034" s="7" cm="1">
        <f t="array" ref="J2034">SUMPRODUCT(("SUP_WSTBIO"=[1]OUT_SyntheticFuels!$C$4:$C$1000)*1,("Var_cap"=[1]OUT_SyntheticFuels!$B$4:$B$1000)*1,[1]OUT_SyntheticFuels!I$4:I$1000)</f>
        <v>0.31761300522074104</v>
      </c>
      <c r="K2034" s="7" cm="1">
        <f t="array" ref="K2034">SUMPRODUCT(("SUP_WSTBIO"=[1]OUT_SyntheticFuels!$C$4:$C$1000)*1,("Var_cap"=[1]OUT_SyntheticFuels!$B$4:$B$1000)*1,[1]OUT_SyntheticFuels!J$4:J$1000)</f>
        <v>0.37186907134274516</v>
      </c>
    </row>
    <row r="2035" spans="2:11" x14ac:dyDescent="0.25">
      <c r="B2035" s="5" t="str">
        <f t="shared" si="1250"/>
        <v>SPS2</v>
      </c>
      <c r="C2035" s="5" t="str">
        <f t="shared" si="129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ref="B2036:B2044" si="1291">B2035</f>
        <v>SPS2</v>
      </c>
      <c r="C2036" s="5" t="str">
        <f t="shared" si="129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2.9450278688263599E-5</v>
      </c>
      <c r="K2036" s="7" cm="1">
        <f t="array" ref="K2036">SUMPRODUCT(("SUP_WSTHTGBIO"=[1]OUT_SyntheticFuels!$C$4:$C$1000)*1,("Var_cap"=[1]OUT_SyntheticFuels!$B$4:$B$1000)*1,[1]OUT_SyntheticFuels!J$4:J$1000)</f>
        <v>3.0934805836936187E-5</v>
      </c>
    </row>
    <row r="2037" spans="2:11" x14ac:dyDescent="0.25">
      <c r="B2037" s="5" t="str">
        <f t="shared" si="1291"/>
        <v>SPS2</v>
      </c>
      <c r="C2037" s="5" t="str">
        <f t="shared" si="129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1.0837268426105301E-5</v>
      </c>
      <c r="K2037" s="7" cm="1">
        <f t="array" ref="K2037">SUMPRODUCT(("SUP_WSTHTGBIOCCS"=[1]OUT_SyntheticFuels!$C$4:$C$1000)*1,("Var_cap"=[1]OUT_SyntheticFuels!$B$4:$B$1000)*1,[1]OUT_SyntheticFuels!J$4:J$1000)</f>
        <v>2.0040212646848875E-5</v>
      </c>
    </row>
    <row r="2038" spans="2:11" x14ac:dyDescent="0.25">
      <c r="B2038" s="5" t="str">
        <f t="shared" si="1291"/>
        <v>SPS2</v>
      </c>
      <c r="C2038" s="5" t="str">
        <f t="shared" si="129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1.1394321850577501E-6</v>
      </c>
      <c r="G2038" s="7" cm="1">
        <f t="array" ref="G2038">SUMPRODUCT(("SUP_WODBIO"=[1]OUT_SyntheticFuels!$C$4:$C$1000)*1,("Var_cap"=[1]OUT_SyntheticFuels!$B$4:$B$1000)*1,[1]OUT_SyntheticFuels!F$4:F$1000)</f>
        <v>3.9561045134490495E-5</v>
      </c>
      <c r="H2038" s="7" cm="1">
        <f t="array" ref="H2038">SUMPRODUCT(("SUP_WODBIO"=[1]OUT_SyntheticFuels!$C$4:$C$1000)*1,("Var_cap"=[1]OUT_SyntheticFuels!$B$4:$B$1000)*1,[1]OUT_SyntheticFuels!G$4:G$1000)</f>
        <v>4.1253038640448405E-5</v>
      </c>
      <c r="I2038" s="7" cm="1">
        <f t="array" ref="I2038">SUMPRODUCT(("SUP_WODBIO"=[1]OUT_SyntheticFuels!$C$4:$C$1000)*1,("Var_cap"=[1]OUT_SyntheticFuels!$B$4:$B$1000)*1,[1]OUT_SyntheticFuels!H$4:H$1000)</f>
        <v>4.2728967967106407E-5</v>
      </c>
      <c r="J2038" s="7" cm="1">
        <f t="array" ref="J2038">SUMPRODUCT(("SUP_WODBIO"=[1]OUT_SyntheticFuels!$C$4:$C$1000)*1,("Var_cap"=[1]OUT_SyntheticFuels!$B$4:$B$1000)*1,[1]OUT_SyntheticFuels!I$4:I$1000)</f>
        <v>4.5475978313210269E-5</v>
      </c>
      <c r="K2038" s="7" cm="1">
        <f t="array" ref="K2038">SUMPRODUCT(("SUP_WODBIO"=[1]OUT_SyntheticFuels!$C$4:$C$1000)*1,("Var_cap"=[1]OUT_SyntheticFuels!$B$4:$B$1000)*1,[1]OUT_SyntheticFuels!J$4:J$1000)</f>
        <v>4.0803320416919796E-4</v>
      </c>
    </row>
    <row r="2039" spans="2:11" x14ac:dyDescent="0.25">
      <c r="B2039" s="5" t="str">
        <f t="shared" si="1291"/>
        <v>SPS2</v>
      </c>
      <c r="C2039" s="5" t="str">
        <f t="shared" si="129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2.91995617227041E-5</v>
      </c>
      <c r="K2039" s="7" cm="1">
        <f t="array" ref="K2039">SUMPRODUCT(("SUP_WODBIOCCS"=[1]OUT_SyntheticFuels!$C$4:$C$1000)*1,("Var_cap"=[1]OUT_SyntheticFuels!$B$4:$B$1000)*1,[1]OUT_SyntheticFuels!J$4:J$1000)</f>
        <v>4.4001391347823597E-2</v>
      </c>
    </row>
    <row r="2040" spans="2:11" x14ac:dyDescent="0.25">
      <c r="B2040" s="5" t="str">
        <f t="shared" si="1291"/>
        <v>SPS2</v>
      </c>
      <c r="C2040" s="5" t="str">
        <f t="shared" si="129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4.2401788049755591E-2</v>
      </c>
      <c r="G2040" s="7" cm="1">
        <f t="array" ref="G2040">SUMPRODUCT(("SUP_BIONGA"=[1]OUT_SyntheticFuels!$C$4:$C$1000)*1,("Var_cap"=[1]OUT_SyntheticFuels!$B$4:$B$1000)*1,[1]OUT_SyntheticFuels!F$4:F$1000)</f>
        <v>0.11491757010022186</v>
      </c>
      <c r="H2040" s="7" cm="1">
        <f t="array" ref="H2040">SUMPRODUCT(("SUP_BIONGA"=[1]OUT_SyntheticFuels!$C$4:$C$1000)*1,("Var_cap"=[1]OUT_SyntheticFuels!$B$4:$B$1000)*1,[1]OUT_SyntheticFuels!G$4:G$1000)</f>
        <v>0.11491718138740384</v>
      </c>
      <c r="I2040" s="7" cm="1">
        <f t="array" ref="I2040">SUMPRODUCT(("SUP_BIONGA"=[1]OUT_SyntheticFuels!$C$4:$C$1000)*1,("Var_cap"=[1]OUT_SyntheticFuels!$B$4:$B$1000)*1,[1]OUT_SyntheticFuels!H$4:H$1000)</f>
        <v>0.21574271298742392</v>
      </c>
      <c r="J2040" s="7" cm="1">
        <f t="array" ref="J2040">SUMPRODUCT(("SUP_BIONGA"=[1]OUT_SyntheticFuels!$C$4:$C$1000)*1,("Var_cap"=[1]OUT_SyntheticFuels!$B$4:$B$1000)*1,[1]OUT_SyntheticFuels!I$4:I$1000)</f>
        <v>0.17767820602550627</v>
      </c>
      <c r="K2040" s="7" cm="1">
        <f t="array" ref="K2040">SUMPRODUCT(("SUP_BIONGA"=[1]OUT_SyntheticFuels!$C$4:$C$1000)*1,("Var_cap"=[1]OUT_SyntheticFuels!$B$4:$B$1000)*1,[1]OUT_SyntheticFuels!J$4:J$1000)</f>
        <v>0.34089132818474388</v>
      </c>
    </row>
    <row r="2041" spans="2:11" x14ac:dyDescent="0.25">
      <c r="B2041" s="5" t="str">
        <f t="shared" si="1291"/>
        <v>SPS2</v>
      </c>
      <c r="C2041" s="5" t="str">
        <f t="shared" si="129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0.3552123760507519</v>
      </c>
      <c r="G2041" s="7" cm="1">
        <f t="array" ref="G2041">SUMPRODUCT(("CT_CWODPLT"=[1]OUT_SyntheticFuels!$C$4:$C$1000)*1,("Var_cap"=[1]OUT_SyntheticFuels!$B$4:$B$1000)*1,[1]OUT_SyntheticFuels!F$4:F$1000)</f>
        <v>0.40996067461849567</v>
      </c>
      <c r="H2041" s="7" cm="1">
        <f t="array" ref="H2041">SUMPRODUCT(("CT_CWODPLT"=[1]OUT_SyntheticFuels!$C$4:$C$1000)*1,("Var_cap"=[1]OUT_SyntheticFuels!$B$4:$B$1000)*1,[1]OUT_SyntheticFuels!G$4:G$1000)</f>
        <v>0.16459727509249902</v>
      </c>
      <c r="I2041" s="7" cm="1">
        <f t="array" ref="I2041">SUMPRODUCT(("CT_CWODPLT"=[1]OUT_SyntheticFuels!$C$4:$C$1000)*1,("Var_cap"=[1]OUT_SyntheticFuels!$B$4:$B$1000)*1,[1]OUT_SyntheticFuels!H$4:H$1000)</f>
        <v>0.16457389562188901</v>
      </c>
      <c r="J2041" s="7" cm="1">
        <f t="array" ref="J2041">SUMPRODUCT(("CT_CWODPLT"=[1]OUT_SyntheticFuels!$C$4:$C$1000)*1,("Var_cap"=[1]OUT_SyntheticFuels!$B$4:$B$1000)*1,[1]OUT_SyntheticFuels!I$4:I$1000)</f>
        <v>0.18954319770168079</v>
      </c>
      <c r="K2041" s="7" cm="1">
        <f t="array" ref="K2041">SUMPRODUCT(("CT_CWODPLT"=[1]OUT_SyntheticFuels!$C$4:$C$1000)*1,("Var_cap"=[1]OUT_SyntheticFuels!$B$4:$B$1000)*1,[1]OUT_SyntheticFuels!J$4:J$1000)</f>
        <v>0.18429910891125356</v>
      </c>
    </row>
    <row r="2042" spans="2:11" x14ac:dyDescent="0.25">
      <c r="B2042" s="5" t="str">
        <f t="shared" si="1291"/>
        <v>SPS2</v>
      </c>
      <c r="C2042" s="5" t="str">
        <f t="shared" si="129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9.857268508441591E-7</v>
      </c>
      <c r="J2042" s="7" cm="1">
        <f t="array" ref="J2042">SUMPRODUCT(("SUP_H2NGA"=[1]OUT_SyntheticFuels!$C$4:$C$1000)*1,("Var_cap"=[1]OUT_SyntheticFuels!$B$4:$B$1000)*1,[1]OUT_SyntheticFuels!I$4:I$1000)</f>
        <v>7.165366208787953E-2</v>
      </c>
      <c r="K2042" s="7" cm="1">
        <f t="array" ref="K2042">SUMPRODUCT(("SUP_H2NGA"=[1]OUT_SyntheticFuels!$C$4:$C$1000)*1,("Var_cap"=[1]OUT_SyntheticFuels!$B$4:$B$1000)*1,[1]OUT_SyntheticFuels!J$4:J$1000)</f>
        <v>1.226245612888863</v>
      </c>
    </row>
    <row r="2043" spans="2:11" x14ac:dyDescent="0.25">
      <c r="B2043" s="5" t="str">
        <f t="shared" si="1291"/>
        <v>SPS2</v>
      </c>
      <c r="C2043" s="5" t="str">
        <f t="shared" si="129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1.86066337822903E-6</v>
      </c>
      <c r="J2043" s="7" cm="1">
        <f t="array" ref="J2043">SUMPRODUCT(("SUP_H2DSL"=[1]OUT_SyntheticFuels!$C$4:$C$1000)*1,("Var_cap"=[1]OUT_SyntheticFuels!$B$4:$B$1000)*1,[1]OUT_SyntheticFuels!I$4:I$1000)</f>
        <v>0.60578194789185891</v>
      </c>
      <c r="K2043" s="7" cm="1">
        <f t="array" ref="K2043">SUMPRODUCT(("SUP_H2DSL"=[1]OUT_SyntheticFuels!$C$4:$C$1000)*1,("Var_cap"=[1]OUT_SyntheticFuels!$B$4:$B$1000)*1,[1]OUT_SyntheticFuels!J$4:J$1000)</f>
        <v>2.4388658968882293</v>
      </c>
    </row>
    <row r="2044" spans="2:11" x14ac:dyDescent="0.25">
      <c r="B2044" s="5" t="str">
        <f t="shared" si="1291"/>
        <v>SPS2</v>
      </c>
      <c r="C2044" s="5" t="str">
        <f t="shared" si="129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1.74159695750421E-6</v>
      </c>
      <c r="J2044" s="7" cm="1">
        <f t="array" ref="J2044">SUMPRODUCT(("SUP_H2GSL"=[1]OUT_SyntheticFuels!$C$4:$C$1000)*1,("Var_cap"=[1]OUT_SyntheticFuels!$B$4:$B$1000)*1,[1]OUT_SyntheticFuels!I$4:I$1000)</f>
        <v>0.23710760979024972</v>
      </c>
      <c r="K2044" s="7" cm="1">
        <f t="array" ref="K2044">SUMPRODUCT(("SUP_H2GSL"=[1]OUT_SyntheticFuels!$C$4:$C$1000)*1,("Var_cap"=[1]OUT_SyntheticFuels!$B$4:$B$1000)*1,[1]OUT_SyntheticFuels!J$4:J$1000)</f>
        <v>0.35897982300524267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714.65427004302603</v>
      </c>
      <c r="D3" s="3">
        <f t="shared" ref="D3:H3" si="0">SUM(D4:D7)</f>
        <v>703.77233270293652</v>
      </c>
      <c r="E3" s="3">
        <f t="shared" si="0"/>
        <v>663.62766807647245</v>
      </c>
      <c r="F3" s="3">
        <f t="shared" si="0"/>
        <v>596.02861054865969</v>
      </c>
      <c r="G3" s="3">
        <f t="shared" si="0"/>
        <v>539.24381371511708</v>
      </c>
      <c r="H3" s="3">
        <f t="shared" si="0"/>
        <v>501.75849548304461</v>
      </c>
    </row>
    <row r="4" spans="2:8" x14ac:dyDescent="0.25">
      <c r="B4" s="25" t="s">
        <v>1728</v>
      </c>
      <c r="C4" s="1">
        <f>'SPS2'!F761</f>
        <v>142.21741711816313</v>
      </c>
      <c r="D4" s="1">
        <f>'SPS2'!G761</f>
        <v>140.2483651296038</v>
      </c>
      <c r="E4" s="1">
        <f>'SPS2'!H761</f>
        <v>141.68467685592901</v>
      </c>
      <c r="F4" s="1">
        <f>'SPS2'!I761</f>
        <v>144.69814674320617</v>
      </c>
      <c r="G4" s="1">
        <f>'SPS2'!J761</f>
        <v>145.32390041764396</v>
      </c>
      <c r="H4" s="1">
        <f>'SPS2'!K761</f>
        <v>144.17636176688319</v>
      </c>
    </row>
    <row r="5" spans="2:8" x14ac:dyDescent="0.25">
      <c r="B5" s="25" t="s">
        <v>1729</v>
      </c>
      <c r="C5" s="1">
        <f>'SPS2'!F880</f>
        <v>140.1010861428968</v>
      </c>
      <c r="D5" s="1">
        <f>'SPS2'!G880</f>
        <v>136.75114880625657</v>
      </c>
      <c r="E5" s="1">
        <f>'SPS2'!H880</f>
        <v>128.12821099217263</v>
      </c>
      <c r="F5" s="1">
        <f>'SPS2'!I880</f>
        <v>118.94567114631191</v>
      </c>
      <c r="G5" s="1">
        <f>'SPS2'!J880</f>
        <v>105.90744389502653</v>
      </c>
      <c r="H5" s="1">
        <f>'SPS2'!K880</f>
        <v>92.822646272985367</v>
      </c>
    </row>
    <row r="6" spans="2:8" x14ac:dyDescent="0.25">
      <c r="B6" s="25" t="s">
        <v>1730</v>
      </c>
      <c r="C6" s="1">
        <f>'SPS2'!F970</f>
        <v>219.90509103015395</v>
      </c>
      <c r="D6" s="1">
        <f>'SPS2'!G970</f>
        <v>218.16116493291975</v>
      </c>
      <c r="E6" s="1">
        <f>'SPS2'!H970</f>
        <v>215.7854785885238</v>
      </c>
      <c r="F6" s="1">
        <f>'SPS2'!I970</f>
        <v>199.01364394116709</v>
      </c>
      <c r="G6" s="1">
        <f>'SPS2'!J970</f>
        <v>181.21374134414674</v>
      </c>
      <c r="H6" s="1">
        <f>'SPS2'!K970</f>
        <v>164.44969599836912</v>
      </c>
    </row>
    <row r="7" spans="2:8" x14ac:dyDescent="0.25">
      <c r="B7" s="25" t="s">
        <v>1731</v>
      </c>
      <c r="C7" s="1">
        <f>'SPS2'!F1134+'SPS2'!F1313+'SPS2'!F1397+'SPS2'!F1481+'SPS2'!F1488+'SPS2'!F1495+'SPS2'!F1544+'SPS2'!F1591+'SPS2'!F1638</f>
        <v>212.43067575181215</v>
      </c>
      <c r="D7" s="1">
        <f>'SPS2'!G1134+'SPS2'!G1313+'SPS2'!G1397+'SPS2'!G1481+'SPS2'!G1488+'SPS2'!G1495+'SPS2'!G1544+'SPS2'!G1591+'SPS2'!G1638</f>
        <v>208.61165383415641</v>
      </c>
      <c r="E7" s="1">
        <f>'SPS2'!H1134+'SPS2'!H1313+'SPS2'!H1397+'SPS2'!H1481+'SPS2'!H1488+'SPS2'!H1495+'SPS2'!H1544+'SPS2'!H1591+'SPS2'!H1638</f>
        <v>178.02930163984701</v>
      </c>
      <c r="F7" s="1">
        <f>'SPS2'!I1134+'SPS2'!I1313+'SPS2'!I1397+'SPS2'!I1481+'SPS2'!I1488+'SPS2'!I1495+'SPS2'!I1544+'SPS2'!I1591+'SPS2'!I1638</f>
        <v>133.37114871797451</v>
      </c>
      <c r="G7" s="1">
        <f>'SPS2'!J1134+'SPS2'!J1313+'SPS2'!J1397+'SPS2'!J1481+'SPS2'!J1488+'SPS2'!J1495+'SPS2'!J1544+'SPS2'!J1591+'SPS2'!J1638</f>
        <v>106.79872805829986</v>
      </c>
      <c r="H7" s="1">
        <f>'SPS2'!K1134+'SPS2'!K1313+'SPS2'!K1397+'SPS2'!K1481+'SPS2'!K1488+'SPS2'!K1495+'SPS2'!K1544+'SPS2'!K1591+'SPS2'!K1638</f>
        <v>100.3097914448069</v>
      </c>
    </row>
    <row r="8" spans="2:8" x14ac:dyDescent="0.25">
      <c r="B8" s="2" t="s">
        <v>1736</v>
      </c>
      <c r="C8" s="3">
        <f>SUM(C9:C12)</f>
        <v>510.59796192045008</v>
      </c>
      <c r="D8" s="3">
        <f t="shared" ref="D8:H8" si="1">SUM(D9:D12)</f>
        <v>493.20585187007441</v>
      </c>
      <c r="E8" s="3">
        <f t="shared" si="1"/>
        <v>518.51677984306559</v>
      </c>
      <c r="F8" s="3">
        <f t="shared" si="1"/>
        <v>582.67995137231424</v>
      </c>
      <c r="G8" s="3">
        <f t="shared" si="1"/>
        <v>550.6151178714299</v>
      </c>
      <c r="H8" s="3">
        <f t="shared" si="1"/>
        <v>624.05926532678768</v>
      </c>
    </row>
    <row r="9" spans="2:8" x14ac:dyDescent="0.25">
      <c r="B9" s="25" t="s">
        <v>1733</v>
      </c>
      <c r="C9" s="1">
        <f>'SPS2'!F289+'SPS2'!F407</f>
        <v>493.749090604348</v>
      </c>
      <c r="D9" s="1">
        <f>'SPS2'!G289+'SPS2'!G407</f>
        <v>473.61586490248089</v>
      </c>
      <c r="E9" s="1">
        <f>'SPS2'!H289+'SPS2'!H407</f>
        <v>499.06517491685008</v>
      </c>
      <c r="F9" s="1">
        <f>'SPS2'!I289+'SPS2'!I407</f>
        <v>522.14871902839127</v>
      </c>
      <c r="G9" s="1">
        <f>'SPS2'!J289+'SPS2'!J407</f>
        <v>476.11441601305052</v>
      </c>
      <c r="H9" s="1">
        <f>'SPS2'!K289+'SPS2'!K407</f>
        <v>480.4773910196202</v>
      </c>
    </row>
    <row r="10" spans="2:8" x14ac:dyDescent="0.25">
      <c r="B10" s="25" t="s">
        <v>1734</v>
      </c>
      <c r="C10" s="1">
        <f>'SPS2'!F588+'SPS2'!F602+'SPS2'!F642</f>
        <v>16.844626940400019</v>
      </c>
      <c r="D10" s="1">
        <f>'SPS2'!G588+'SPS2'!G602+'SPS2'!G642</f>
        <v>19.565216118219332</v>
      </c>
      <c r="E10" s="1">
        <f>'SPS2'!H588+'SPS2'!H602+'SPS2'!H642</f>
        <v>19.362308327449998</v>
      </c>
      <c r="F10" s="1">
        <f>'SPS2'!I588+'SPS2'!I602+'SPS2'!I642</f>
        <v>29.274450244503306</v>
      </c>
      <c r="G10" s="1">
        <f>'SPS2'!J588+'SPS2'!J602+'SPS2'!J642</f>
        <v>33.279431687925147</v>
      </c>
      <c r="H10" s="1">
        <f>'SPS2'!K588+'SPS2'!K602+'SPS2'!K642</f>
        <v>57.380917937745593</v>
      </c>
    </row>
    <row r="11" spans="2:8" x14ac:dyDescent="0.25">
      <c r="B11" s="25" t="s">
        <v>1732</v>
      </c>
      <c r="C11" s="1">
        <f>'SPS2'!F677</f>
        <v>4.244375702044661E-3</v>
      </c>
      <c r="D11" s="1">
        <f>'SPS2'!G677</f>
        <v>2.477084937417421E-2</v>
      </c>
      <c r="E11" s="1">
        <f>'SPS2'!H677</f>
        <v>8.929659876550998E-2</v>
      </c>
      <c r="F11" s="1">
        <f>'SPS2'!I677</f>
        <v>31.25678209941961</v>
      </c>
      <c r="G11" s="1">
        <f>'SPS2'!J677</f>
        <v>41.221217370489498</v>
      </c>
      <c r="H11" s="1">
        <f>'SPS2'!K677</f>
        <v>86.199080409966726</v>
      </c>
    </row>
    <row r="12" spans="2:8" x14ac:dyDescent="0.25">
      <c r="B12" s="25" t="s">
        <v>1735</v>
      </c>
      <c r="C12" s="1">
        <f>'SPS2'!F1702</f>
        <v>0</v>
      </c>
      <c r="D12" s="1">
        <f>'SPS2'!G1702</f>
        <v>0</v>
      </c>
      <c r="E12" s="1">
        <f>'SPS2'!H1702</f>
        <v>0</v>
      </c>
      <c r="F12" s="1">
        <f>'SPS2'!I1702</f>
        <v>0</v>
      </c>
      <c r="G12" s="1">
        <f>'SPS2'!J1702</f>
        <v>5.279996481755241E-5</v>
      </c>
      <c r="H12" s="1">
        <f>'SPS2'!K1702</f>
        <v>1.8759594551323597E-3</v>
      </c>
    </row>
    <row r="13" spans="2:8" x14ac:dyDescent="0.25">
      <c r="B13" s="2" t="s">
        <v>1737</v>
      </c>
      <c r="C13" s="3">
        <f>'SPS2'!F2+'SPS2'!F20-'SPS2'!F55</f>
        <v>958.90256430074703</v>
      </c>
      <c r="D13" s="3">
        <f>'SPS2'!G2+'SPS2'!G20-'SPS2'!G55</f>
        <v>958.63783697487179</v>
      </c>
      <c r="E13" s="3">
        <f>'SPS2'!H2+'SPS2'!H20-'SPS2'!H55</f>
        <v>917.68090636099225</v>
      </c>
      <c r="F13" s="3">
        <f>'SPS2'!I2+'SPS2'!I20-'SPS2'!I55</f>
        <v>830.02319178982566</v>
      </c>
      <c r="G13" s="3">
        <f>'SPS2'!J2+'SPS2'!J20-'SPS2'!J55</f>
        <v>698.26818893369671</v>
      </c>
      <c r="H13" s="3">
        <f>'SPS2'!K2+'SPS2'!K20-'SPS2'!K55</f>
        <v>622.82083707376285</v>
      </c>
    </row>
    <row r="14" spans="2:8" x14ac:dyDescent="0.25">
      <c r="B14" s="25" t="s">
        <v>1738</v>
      </c>
      <c r="C14" s="1">
        <f>'SPS2'!F2</f>
        <v>299.9836028914288</v>
      </c>
      <c r="D14" s="1">
        <f>'SPS2'!G2</f>
        <v>290.74333337404983</v>
      </c>
      <c r="E14" s="1">
        <f>'SPS2'!H2</f>
        <v>364.54676140834971</v>
      </c>
      <c r="F14" s="1">
        <f>'SPS2'!I2</f>
        <v>414.7856300654401</v>
      </c>
      <c r="G14" s="1">
        <f>'SPS2'!J2</f>
        <v>506.59256172221853</v>
      </c>
      <c r="H14" s="1">
        <f>'SPS2'!K2</f>
        <v>618.67475213812452</v>
      </c>
    </row>
    <row r="15" spans="2:8" x14ac:dyDescent="0.25">
      <c r="B15" s="25" t="s">
        <v>19</v>
      </c>
      <c r="C15" s="1">
        <f>'SPS2'!F20</f>
        <v>776.0889657186392</v>
      </c>
      <c r="D15" s="1">
        <f>'SPS2'!G20</f>
        <v>703.32164357933073</v>
      </c>
      <c r="E15" s="1">
        <f>'SPS2'!H20</f>
        <v>606.7144632009207</v>
      </c>
      <c r="F15" s="1">
        <f>'SPS2'!I20</f>
        <v>441.02124678728336</v>
      </c>
      <c r="G15" s="1">
        <f>'SPS2'!J20</f>
        <v>208.47244858837689</v>
      </c>
      <c r="H15" s="1">
        <f>'SPS2'!K20</f>
        <v>23.684722731225531</v>
      </c>
    </row>
    <row r="16" spans="2:8" x14ac:dyDescent="0.25">
      <c r="B16" s="25" t="s">
        <v>24</v>
      </c>
      <c r="C16" s="1">
        <f>'SPS2'!F55</f>
        <v>117.17000430932094</v>
      </c>
      <c r="D16" s="1">
        <f>'SPS2'!G55</f>
        <v>35.427139978508777</v>
      </c>
      <c r="E16" s="1">
        <f>'SPS2'!H55</f>
        <v>53.580318248278118</v>
      </c>
      <c r="F16" s="1">
        <f>'SPS2'!I55</f>
        <v>25.783685062897778</v>
      </c>
      <c r="G16" s="1">
        <f>'SPS2'!J55</f>
        <v>16.796821376898681</v>
      </c>
      <c r="H16" s="1">
        <f>'SPS2'!K55</f>
        <v>19.538637795587157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3C8C03ABD37349B85E16C79D0BC86D" ma:contentTypeVersion="15" ma:contentTypeDescription="Create a new document." ma:contentTypeScope="" ma:versionID="e0c4c809cdd1f4d681ffe254c15b0eea">
  <xsd:schema xmlns:xsd="http://www.w3.org/2001/XMLSchema" xmlns:xs="http://www.w3.org/2001/XMLSchema" xmlns:p="http://schemas.microsoft.com/office/2006/metadata/properties" xmlns:ns2="e295f8eb-68fd-485a-b496-2dea93c33955" xmlns:ns3="87741f5d-aecd-4848-a292-3dd6d2ed684b" targetNamespace="http://schemas.microsoft.com/office/2006/metadata/properties" ma:root="true" ma:fieldsID="474854dce0ec48aabc248446e7a68ac4" ns2:_="" ns3:_="">
    <xsd:import namespace="e295f8eb-68fd-485a-b496-2dea93c33955"/>
    <xsd:import namespace="87741f5d-aecd-4848-a292-3dd6d2ed684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95f8eb-68fd-485a-b496-2dea93c339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e74db9c-dc52-4677-9c7e-908c2cd617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741f5d-aecd-4848-a292-3dd6d2ed684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db5f5e8e-ac30-471d-9cc1-863a960338b4}" ma:internalName="TaxCatchAll" ma:showField="CatchAllData" ma:web="87741f5d-aecd-4848-a292-3dd6d2ed684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295f8eb-68fd-485a-b496-2dea93c33955">
      <Terms xmlns="http://schemas.microsoft.com/office/infopath/2007/PartnerControls"/>
    </lcf76f155ced4ddcb4097134ff3c332f>
    <TaxCatchAll xmlns="87741f5d-aecd-4848-a292-3dd6d2ed684b" xsi:nil="true"/>
  </documentManagement>
</p:properties>
</file>

<file path=customXml/itemProps1.xml><?xml version="1.0" encoding="utf-8"?>
<ds:datastoreItem xmlns:ds="http://schemas.openxmlformats.org/officeDocument/2006/customXml" ds:itemID="{76132C62-1076-440B-B64B-52807C03F5DC}"/>
</file>

<file path=customXml/itemProps2.xml><?xml version="1.0" encoding="utf-8"?>
<ds:datastoreItem xmlns:ds="http://schemas.openxmlformats.org/officeDocument/2006/customXml" ds:itemID="{9800A538-4E7F-42E8-9FD7-FB8571B59D4E}"/>
</file>

<file path=customXml/itemProps3.xml><?xml version="1.0" encoding="utf-8"?>
<ds:datastoreItem xmlns:ds="http://schemas.openxmlformats.org/officeDocument/2006/customXml" ds:itemID="{6F59DDF2-22C0-4581-9782-93F5295A6B98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SPS2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2025-03-12T11:18:40Z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0x010100E43C8C03ABD37349B85E16C79D0BC86D</vt:lpwstr>
  </property>
</Properties>
</file>