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5F3E0809-9914-428A-B9BA-40F384867075}" xr6:coauthVersionLast="47" xr6:coauthVersionMax="47" xr10:uidLastSave="{00000000-0000-0000-0000-000000000000}"/>
  <bookViews>
    <workbookView xWindow="26595" yWindow="5895" windowWidth="28770" windowHeight="17190" activeTab="1" xr2:uid="{FF64AF30-3015-1142-92FA-2A2ED079457A}"/>
  </bookViews>
  <sheets>
    <sheet name="Variable_List" sheetId="2" r:id="rId1"/>
    <sheet name="SPS3" sheetId="1" r:id="rId2"/>
    <sheet name="check" sheetId="4" r:id="rId3"/>
  </sheets>
  <externalReferences>
    <externalReference r:id="rId4"/>
  </externalReferences>
  <definedNames>
    <definedName name="_xlnm._FilterDatabase" localSheetId="1" hidden="1">'SPS3'!$A$1:$K$1753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K1817" i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F1688" i="1" a="1"/>
  <c r="F1688" i="1" s="1"/>
  <c r="I1688" i="1" a="1"/>
  <c r="I1688" i="1"/>
  <c r="K1688" i="1" a="1"/>
  <c r="K1688" i="1"/>
  <c r="J1688" i="1" a="1"/>
  <c r="J1688" i="1"/>
  <c r="G1688" i="1" a="1"/>
  <c r="G1688" i="1" s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G2011" i="1" a="1"/>
  <c r="G2011" i="1" s="1"/>
  <c r="G2012" i="1" s="1" a="1"/>
  <c r="G2012" i="1" s="1"/>
  <c r="K2010" i="1" a="1"/>
  <c r="K2010" i="1" s="1"/>
  <c r="I2015" i="1" a="1"/>
  <c r="I2015" i="1" s="1"/>
  <c r="H2016" i="1" a="1"/>
  <c r="H2016" i="1" s="1"/>
  <c r="K2016" i="1" a="1"/>
  <c r="K2016" i="1" s="1"/>
  <c r="G2013" i="1" a="1"/>
  <c r="G2013" i="1" s="1"/>
  <c r="K2011" i="1" a="1"/>
  <c r="K2011" i="1" s="1"/>
  <c r="K2012" i="1" s="1" a="1"/>
  <c r="K2012" i="1" s="1"/>
  <c r="F2010" i="1" a="1"/>
  <c r="F2010" i="1" s="1"/>
  <c r="F2013" i="1" a="1"/>
  <c r="F2013" i="1" s="1"/>
  <c r="F2014" i="1" s="1" a="1"/>
  <c r="F2014" i="1" s="1"/>
  <c r="J2016" i="1" a="1"/>
  <c r="J2016" i="1" s="1"/>
  <c r="J2012" i="1" a="1"/>
  <c r="J2012" i="1" s="1"/>
  <c r="H2011" i="1" a="1"/>
  <c r="H2011" i="1" s="1"/>
  <c r="I2010" i="1" a="1"/>
  <c r="I2010" i="1" s="1"/>
  <c r="H2014" i="1" a="1"/>
  <c r="H2014" i="1" s="1"/>
  <c r="J2013" i="1" a="1"/>
  <c r="J2013" i="1" s="1"/>
  <c r="H2013" i="1" a="1"/>
  <c r="H2013" i="1"/>
  <c r="I2016" i="1" a="1"/>
  <c r="I2016" i="1" s="1"/>
  <c r="F2016" i="1" a="1"/>
  <c r="F2016" i="1" s="1"/>
  <c r="F2015" i="1" a="1"/>
  <c r="F2015" i="1" s="1"/>
  <c r="J2010" i="1" a="1"/>
  <c r="J2010" i="1" s="1"/>
  <c r="J2011" i="1" a="1"/>
  <c r="J2011" i="1" s="1"/>
  <c r="J2015" i="1" a="1"/>
  <c r="J2015" i="1" s="1"/>
  <c r="G2014" i="1" a="1"/>
  <c r="G2014" i="1" s="1"/>
  <c r="I2013" i="1" a="1"/>
  <c r="I2013" i="1"/>
  <c r="I2014" i="1" s="1" a="1"/>
  <c r="I2014" i="1" s="1"/>
  <c r="K2015" i="1" a="1"/>
  <c r="K2015" i="1" s="1"/>
  <c r="G2015" i="1" a="1"/>
  <c r="G2015" i="1" s="1"/>
  <c r="K2013" i="1" a="1"/>
  <c r="K2013" i="1" s="1"/>
  <c r="K2014" i="1" s="1" a="1"/>
  <c r="K2014" i="1" s="1"/>
  <c r="H2010" i="1" a="1"/>
  <c r="H2010" i="1" s="1"/>
  <c r="F2012" i="1" a="1"/>
  <c r="F2012" i="1" s="1"/>
  <c r="I2011" i="1" a="1"/>
  <c r="I2011" i="1" s="1"/>
  <c r="I2012" i="1" s="1" a="1"/>
  <c r="I2012" i="1" s="1"/>
  <c r="G2016" i="1" a="1"/>
  <c r="G2016" i="1" s="1"/>
  <c r="J2014" i="1" a="1"/>
  <c r="J2014" i="1" s="1"/>
  <c r="H2015" i="1" a="1"/>
  <c r="H2015" i="1" s="1"/>
  <c r="H2012" i="1" a="1"/>
  <c r="H2012" i="1" s="1"/>
  <c r="F2011" i="1" a="1"/>
  <c r="F2011" i="1" s="1"/>
  <c r="G2010" i="1" a="1"/>
  <c r="G2010" i="1" s="1"/>
  <c r="G2008" i="1" a="1"/>
  <c r="G2008" i="1" s="1"/>
  <c r="G2009" i="1" s="1" a="1"/>
  <c r="G2009" i="1" s="1"/>
  <c r="F2000" i="1" a="1"/>
  <c r="F2000" i="1" s="1"/>
  <c r="J2006" i="1" a="1"/>
  <c r="J2006" i="1" s="1"/>
  <c r="J2003" i="1" a="1"/>
  <c r="J2003" i="1" s="1"/>
  <c r="J2004" i="1" s="1" a="1"/>
  <c r="J2004" i="1" s="1"/>
  <c r="G2001" i="1" a="1"/>
  <c r="G2001" i="1"/>
  <c r="G2003" i="1" a="1"/>
  <c r="G2003" i="1" s="1"/>
  <c r="G2004" i="1" s="1" a="1"/>
  <c r="G2004" i="1" s="1"/>
  <c r="J2001" i="1" a="1"/>
  <c r="J2001" i="1" s="1"/>
  <c r="H2000" i="1" a="1"/>
  <c r="H2000" i="1" s="1"/>
  <c r="I2005" i="1" a="1"/>
  <c r="I2005" i="1" s="1"/>
  <c r="I2000" i="1" a="1"/>
  <c r="I2000" i="1" s="1"/>
  <c r="K2008" i="1" a="1"/>
  <c r="K2008" i="1" s="1"/>
  <c r="K2009" i="1" s="1" a="1"/>
  <c r="K2009" i="1" s="1"/>
  <c r="H2006" i="1" a="1"/>
  <c r="H2006" i="1" s="1"/>
  <c r="H2005" i="1" a="1"/>
  <c r="H2005" i="1" s="1"/>
  <c r="G2000" i="1" a="1"/>
  <c r="G2000" i="1" s="1"/>
  <c r="G2005" i="1" a="1"/>
  <c r="G2005" i="1" s="1"/>
  <c r="F2001" i="1" a="1"/>
  <c r="F2001" i="1" s="1"/>
  <c r="J2002" i="1" a="1"/>
  <c r="J2002" i="1"/>
  <c r="J2008" i="1" a="1"/>
  <c r="J2008" i="1" s="1"/>
  <c r="J2009" i="1" s="1" a="1"/>
  <c r="J2009" i="1" s="1"/>
  <c r="K2006" i="1" a="1"/>
  <c r="K2006" i="1" s="1"/>
  <c r="K2003" i="1" a="1"/>
  <c r="K2003" i="1" s="1"/>
  <c r="K2001" i="1" a="1"/>
  <c r="K2001" i="1" s="1"/>
  <c r="F2008" i="1" a="1"/>
  <c r="F2008" i="1" s="1"/>
  <c r="F2009" i="1" s="1" a="1"/>
  <c r="F2009" i="1" s="1"/>
  <c r="K2000" i="1" a="1"/>
  <c r="K2000" i="1" s="1"/>
  <c r="F2005" i="1" a="1"/>
  <c r="F2005" i="1" s="1"/>
  <c r="J2005" i="1" a="1"/>
  <c r="J2005" i="1"/>
  <c r="I2008" i="1" a="1"/>
  <c r="I2008" i="1"/>
  <c r="I2009" i="1" s="1" a="1"/>
  <c r="I2009" i="1" s="1"/>
  <c r="H2008" i="1" a="1"/>
  <c r="H2008" i="1" s="1"/>
  <c r="H2009" i="1" s="1" a="1"/>
  <c r="H2009" i="1" s="1"/>
  <c r="G2006" i="1" a="1"/>
  <c r="G2006" i="1" s="1"/>
  <c r="F2002" i="1" a="1"/>
  <c r="F2002" i="1" s="1"/>
  <c r="K2005" i="1" a="1"/>
  <c r="K2005" i="1" s="1"/>
  <c r="I2006" i="1" a="1"/>
  <c r="I2006" i="1" s="1"/>
  <c r="F2006" i="1" a="1"/>
  <c r="F2006" i="1" s="1"/>
  <c r="K2004" i="1" a="1"/>
  <c r="K2004" i="1"/>
  <c r="I2004" i="1" a="1"/>
  <c r="I2004" i="1" s="1"/>
  <c r="I2003" i="1" a="1"/>
  <c r="I2003" i="1" s="1"/>
  <c r="H2003" i="1" a="1"/>
  <c r="H2003" i="1" s="1"/>
  <c r="H2004" i="1" s="1" a="1"/>
  <c r="H2004" i="1" s="1"/>
  <c r="F2003" i="1" a="1"/>
  <c r="F2003" i="1" s="1"/>
  <c r="F2004" i="1" s="1" a="1"/>
  <c r="F2004" i="1" s="1"/>
  <c r="J2000" i="1" a="1"/>
  <c r="J2000" i="1" s="1"/>
  <c r="K2002" i="1" a="1"/>
  <c r="K2002" i="1" s="1"/>
  <c r="G2002" i="1" a="1"/>
  <c r="G2002" i="1" s="1"/>
  <c r="I2001" i="1" a="1"/>
  <c r="I2001" i="1" s="1"/>
  <c r="I2002" i="1" s="1" a="1"/>
  <c r="I2002" i="1" s="1"/>
  <c r="K1998" i="1" a="1"/>
  <c r="K1998" i="1" s="1"/>
  <c r="K1999" i="1" s="1" a="1"/>
  <c r="K1999" i="1" s="1"/>
  <c r="H2001" i="1" a="1"/>
  <c r="H2001" i="1" s="1"/>
  <c r="H2002" i="1" s="1" a="1"/>
  <c r="H2002" i="1" s="1"/>
  <c r="H1996" i="1" a="1"/>
  <c r="H1996" i="1" s="1"/>
  <c r="H1993" i="1" a="1"/>
  <c r="H1993" i="1" s="1"/>
  <c r="K1987" i="1" a="1"/>
  <c r="K1987" i="1" s="1"/>
  <c r="H1989" i="1" a="1"/>
  <c r="H1989" i="1" s="1"/>
  <c r="H1995" i="1" a="1"/>
  <c r="H1995" i="1" s="1"/>
  <c r="I1993" i="1" a="1"/>
  <c r="I1993" i="1" s="1"/>
  <c r="J1989" i="1" a="1"/>
  <c r="J1989" i="1" s="1"/>
  <c r="G1995" i="1" a="1"/>
  <c r="G1995" i="1" s="1"/>
  <c r="K1988" i="1" a="1"/>
  <c r="K1988" i="1" s="1"/>
  <c r="H1992" i="1" a="1"/>
  <c r="H1992" i="1" s="1"/>
  <c r="F1993" i="1" a="1"/>
  <c r="F1993" i="1" s="1"/>
  <c r="K1994" i="1" a="1"/>
  <c r="K1994" i="1" s="1"/>
  <c r="J1994" i="1" a="1"/>
  <c r="J1994" i="1" s="1"/>
  <c r="I1994" i="1" a="1"/>
  <c r="I1994" i="1" s="1"/>
  <c r="J1993" i="1" a="1"/>
  <c r="J1993" i="1" s="1"/>
  <c r="G1994" i="1" a="1"/>
  <c r="G1994" i="1" s="1"/>
  <c r="F1994" i="1" a="1"/>
  <c r="F1994" i="1" s="1"/>
  <c r="K1991" i="1" a="1"/>
  <c r="K1991" i="1" s="1"/>
  <c r="K1993" i="1" a="1"/>
  <c r="K1993" i="1" s="1"/>
  <c r="F1992" i="1" a="1"/>
  <c r="F1992" i="1" s="1"/>
  <c r="I1991" i="1" a="1"/>
  <c r="I1991" i="1" s="1"/>
  <c r="F1991" i="1" a="1"/>
  <c r="F1991" i="1" s="1"/>
  <c r="H1990" i="1" a="1"/>
  <c r="H1990" i="1" s="1"/>
  <c r="J1987" i="1" a="1"/>
  <c r="J1987" i="1" s="1"/>
  <c r="G1988" i="1" a="1"/>
  <c r="G1988" i="1" s="1"/>
  <c r="F1988" i="1" a="1"/>
  <c r="F1988" i="1" s="1"/>
  <c r="K1989" i="1" a="1"/>
  <c r="K1989" i="1" s="1"/>
  <c r="F1990" i="1" a="1"/>
  <c r="F1990" i="1"/>
  <c r="J1988" i="1" a="1"/>
  <c r="J1988" i="1"/>
  <c r="K1990" i="1" a="1"/>
  <c r="K1990" i="1"/>
  <c r="I1989" i="1" a="1"/>
  <c r="I1989" i="1" s="1"/>
  <c r="I1995" i="1" a="1"/>
  <c r="I1995" i="1" s="1"/>
  <c r="G1990" i="1" a="1"/>
  <c r="G1990" i="1" s="1"/>
  <c r="I1988" i="1" a="1"/>
  <c r="I1988" i="1" s="1"/>
  <c r="I1998" i="1" a="1"/>
  <c r="I1998" i="1" s="1"/>
  <c r="I1999" i="1" s="1" a="1"/>
  <c r="I1999" i="1" s="1"/>
  <c r="H1998" i="1" a="1"/>
  <c r="H1998" i="1" s="1"/>
  <c r="H1999" i="1" s="1" a="1"/>
  <c r="H1999" i="1" s="1"/>
  <c r="G1998" i="1" a="1"/>
  <c r="G1998" i="1" s="1"/>
  <c r="G1999" i="1" s="1" a="1"/>
  <c r="G1999" i="1" s="1"/>
  <c r="G1996" i="1" a="1"/>
  <c r="G1996" i="1" s="1"/>
  <c r="G1992" i="1" a="1"/>
  <c r="G1992" i="1"/>
  <c r="G1993" i="1" a="1"/>
  <c r="G1993" i="1"/>
  <c r="J1990" i="1" a="1"/>
  <c r="J1990" i="1" s="1"/>
  <c r="G1991" i="1" a="1"/>
  <c r="G1991" i="1" s="1"/>
  <c r="K1996" i="1" a="1"/>
  <c r="K1996" i="1" s="1"/>
  <c r="I1990" i="1" a="1"/>
  <c r="I1990" i="1" s="1"/>
  <c r="F1996" i="1" a="1"/>
  <c r="F1996" i="1" s="1"/>
  <c r="H1988" i="1" a="1"/>
  <c r="H1988" i="1" s="1"/>
  <c r="K1992" i="1" a="1"/>
  <c r="K1992" i="1" s="1"/>
  <c r="J1995" i="1" a="1"/>
  <c r="J1995" i="1" s="1"/>
  <c r="J1992" i="1" a="1"/>
  <c r="J1992" i="1" s="1"/>
  <c r="J1991" i="1" a="1"/>
  <c r="J1991" i="1"/>
  <c r="F1995" i="1" a="1"/>
  <c r="F1995" i="1" s="1"/>
  <c r="F1989" i="1" a="1"/>
  <c r="F1989" i="1" s="1"/>
  <c r="J1998" i="1" a="1"/>
  <c r="J1998" i="1" s="1"/>
  <c r="J1999" i="1" s="1" a="1"/>
  <c r="J1999" i="1" s="1"/>
  <c r="H1991" i="1" a="1"/>
  <c r="H1991" i="1" s="1"/>
  <c r="F1998" i="1" a="1"/>
  <c r="F1998" i="1" s="1"/>
  <c r="F1999" i="1" s="1" a="1"/>
  <c r="F1999" i="1" s="1"/>
  <c r="J1996" i="1" a="1"/>
  <c r="J1996" i="1" s="1"/>
  <c r="K1995" i="1" a="1"/>
  <c r="K1995" i="1" s="1"/>
  <c r="I1992" i="1" a="1"/>
  <c r="I1992" i="1" s="1"/>
  <c r="G1989" i="1" a="1"/>
  <c r="G1989" i="1" s="1"/>
  <c r="I1996" i="1" a="1"/>
  <c r="I1996" i="1" s="1"/>
  <c r="H1994" i="1" a="1"/>
  <c r="H1994" i="1" s="1"/>
  <c r="I1984" i="1" a="1"/>
  <c r="I1984" i="1" s="1"/>
  <c r="J1982" i="1" a="1"/>
  <c r="J1982" i="1" s="1"/>
  <c r="K1980" i="1" a="1"/>
  <c r="K1980" i="1" s="1"/>
  <c r="I1978" i="1" a="1"/>
  <c r="I1978" i="1" s="1"/>
  <c r="G1984" i="1" a="1"/>
  <c r="G1984" i="1" s="1"/>
  <c r="I1985" i="1" a="1"/>
  <c r="I1985" i="1" s="1"/>
  <c r="K1978" i="1" a="1"/>
  <c r="K1978" i="1" s="1"/>
  <c r="F1987" i="1" a="1"/>
  <c r="F1987" i="1" s="1"/>
  <c r="J1986" i="1" a="1"/>
  <c r="J1986" i="1" s="1"/>
  <c r="J1985" i="1" a="1"/>
  <c r="J1985" i="1" s="1"/>
  <c r="I1982" i="1" a="1"/>
  <c r="I1982" i="1" s="1"/>
  <c r="I1986" i="1" a="1"/>
  <c r="I1986" i="1" s="1"/>
  <c r="G1982" i="1" a="1"/>
  <c r="G1982" i="1" s="1"/>
  <c r="I1979" i="1" a="1"/>
  <c r="I1979" i="1" s="1"/>
  <c r="K1977" i="1" a="1"/>
  <c r="K1977" i="1" s="1"/>
  <c r="I1977" i="1" a="1"/>
  <c r="I1977" i="1" s="1"/>
  <c r="H1986" i="1" a="1"/>
  <c r="H1986" i="1" s="1"/>
  <c r="H1984" i="1" a="1"/>
  <c r="H1984" i="1" s="1"/>
  <c r="K1982" i="1" a="1"/>
  <c r="K1982" i="1" s="1"/>
  <c r="F1982" i="1" a="1"/>
  <c r="F1982" i="1" s="1"/>
  <c r="H1979" i="1" a="1"/>
  <c r="H1979" i="1" s="1"/>
  <c r="H1982" i="1" a="1"/>
  <c r="H1982" i="1" s="1"/>
  <c r="G1980" i="1" a="1"/>
  <c r="G1980" i="1" s="1"/>
  <c r="J1977" i="1" a="1"/>
  <c r="J1977" i="1" s="1"/>
  <c r="G1979" i="1" a="1"/>
  <c r="G1979" i="1" s="1"/>
  <c r="J1979" i="1" a="1"/>
  <c r="J1979" i="1" s="1"/>
  <c r="G1986" i="1" a="1"/>
  <c r="G1986" i="1" s="1"/>
  <c r="F1984" i="1" a="1"/>
  <c r="F1984" i="1"/>
  <c r="I1980" i="1" a="1"/>
  <c r="I1980" i="1"/>
  <c r="J1978" i="1" a="1"/>
  <c r="J1978" i="1" s="1"/>
  <c r="F1978" i="1" a="1"/>
  <c r="F1978" i="1" s="1"/>
  <c r="G1977" i="1" a="1"/>
  <c r="G1977" i="1" s="1"/>
  <c r="K1985" i="1" a="1"/>
  <c r="K1985" i="1" s="1"/>
  <c r="H1985" i="1" a="1"/>
  <c r="H1985" i="1" s="1"/>
  <c r="I1981" i="1" a="1"/>
  <c r="I1981" i="1" s="1"/>
  <c r="G1981" i="1" a="1"/>
  <c r="G1981" i="1" s="1"/>
  <c r="G1985" i="1" a="1"/>
  <c r="G1985" i="1" s="1"/>
  <c r="G1983" i="1" a="1"/>
  <c r="G1983" i="1"/>
  <c r="K1983" i="1" a="1"/>
  <c r="K1983" i="1"/>
  <c r="J1984" i="1" a="1"/>
  <c r="J1984" i="1" s="1"/>
  <c r="I1983" i="1" a="1"/>
  <c r="I1983" i="1" s="1"/>
  <c r="J1983" i="1" a="1"/>
  <c r="J1983" i="1" s="1"/>
  <c r="J1981" i="1" a="1"/>
  <c r="J1981" i="1" s="1"/>
  <c r="J1980" i="1" a="1"/>
  <c r="J1980" i="1" s="1"/>
  <c r="F1980" i="1" a="1"/>
  <c r="F1980" i="1" s="1"/>
  <c r="K1981" i="1" a="1"/>
  <c r="K1981" i="1" s="1"/>
  <c r="H1977" i="1" a="1"/>
  <c r="H1977" i="1"/>
  <c r="H1983" i="1" a="1"/>
  <c r="H1983" i="1" s="1"/>
  <c r="F1981" i="1" a="1"/>
  <c r="F1981" i="1" s="1"/>
  <c r="I1987" i="1" a="1"/>
  <c r="I1987" i="1" s="1"/>
  <c r="K1986" i="1" a="1"/>
  <c r="K1986" i="1" s="1"/>
  <c r="F1983" i="1" a="1"/>
  <c r="F1983" i="1" s="1"/>
  <c r="H1980" i="1" a="1"/>
  <c r="H1980" i="1" s="1"/>
  <c r="G1978" i="1" a="1"/>
  <c r="G1978" i="1" s="1"/>
  <c r="F1986" i="1" a="1"/>
  <c r="F1986" i="1" s="1"/>
  <c r="F1985" i="1" a="1"/>
  <c r="F1985" i="1" s="1"/>
  <c r="G1987" i="1" a="1"/>
  <c r="G1987" i="1"/>
  <c r="K1979" i="1" a="1"/>
  <c r="K1979" i="1" s="1"/>
  <c r="K1984" i="1" a="1"/>
  <c r="K1984" i="1" s="1"/>
  <c r="F1977" i="1" a="1"/>
  <c r="F1977" i="1" s="1"/>
  <c r="F1979" i="1" a="1"/>
  <c r="F1979" i="1" s="1"/>
  <c r="H1978" i="1" a="1"/>
  <c r="H1978" i="1" s="1"/>
  <c r="H1981" i="1" a="1"/>
  <c r="H1981" i="1" s="1"/>
  <c r="H1987" i="1" a="1"/>
  <c r="H1987" i="1" s="1"/>
  <c r="I1969" i="1" a="1"/>
  <c r="I1969" i="1" s="1"/>
  <c r="H1967" i="1" a="1"/>
  <c r="H1967" i="1" s="1"/>
  <c r="G1968" i="1" a="1"/>
  <c r="G1968" i="1"/>
  <c r="J1974" i="1" a="1"/>
  <c r="J1974" i="1" s="1"/>
  <c r="K1972" i="1" a="1"/>
  <c r="K1972" i="1" s="1"/>
  <c r="G1972" i="1" a="1"/>
  <c r="G1972" i="1" s="1"/>
  <c r="H1971" i="1" a="1"/>
  <c r="H1971" i="1" s="1"/>
  <c r="H1970" i="1" a="1"/>
  <c r="H1970" i="1" s="1"/>
  <c r="G1969" i="1" a="1"/>
  <c r="G1969" i="1" s="1"/>
  <c r="G1967" i="1" a="1"/>
  <c r="G1967" i="1" s="1"/>
  <c r="J1967" i="1" a="1"/>
  <c r="J1967" i="1" s="1"/>
  <c r="I1968" i="1" a="1"/>
  <c r="I1968" i="1" s="1"/>
  <c r="K1967" i="1" a="1"/>
  <c r="K1967" i="1" s="1"/>
  <c r="H1972" i="1" a="1"/>
  <c r="H1972" i="1" s="1"/>
  <c r="K1969" i="1" a="1"/>
  <c r="K1969" i="1" s="1"/>
  <c r="I1972" i="1" a="1"/>
  <c r="I1972" i="1" s="1"/>
  <c r="I1966" i="1" a="1"/>
  <c r="I1966" i="1" s="1"/>
  <c r="I1967" i="1" a="1"/>
  <c r="I1967" i="1" s="1"/>
  <c r="K1968" i="1" a="1"/>
  <c r="K1968" i="1" s="1"/>
  <c r="F1967" i="1" a="1"/>
  <c r="F1967" i="1" s="1"/>
  <c r="H1969" i="1" a="1"/>
  <c r="H1969" i="1" s="1"/>
  <c r="F1975" i="1" a="1"/>
  <c r="F1975" i="1" s="1"/>
  <c r="J1966" i="1" a="1"/>
  <c r="J1966" i="1" s="1"/>
  <c r="K1966" i="1" a="1"/>
  <c r="K1966" i="1" s="1"/>
  <c r="F1972" i="1" a="1"/>
  <c r="F1972" i="1"/>
  <c r="I1971" i="1" a="1"/>
  <c r="I1971" i="1" s="1"/>
  <c r="H1968" i="1" a="1"/>
  <c r="H1968" i="1" s="1"/>
  <c r="F1970" i="1" a="1"/>
  <c r="F1970" i="1" s="1"/>
  <c r="J1969" i="1" a="1"/>
  <c r="J1969" i="1" s="1"/>
  <c r="F1969" i="1" a="1"/>
  <c r="F1969" i="1" s="1"/>
  <c r="J1968" i="1" a="1"/>
  <c r="J1968" i="1" s="1"/>
  <c r="J1972" i="1" a="1"/>
  <c r="J1972" i="1" s="1"/>
  <c r="I1970" i="1" a="1"/>
  <c r="I1970" i="1" s="1"/>
  <c r="G1971" i="1" a="1"/>
  <c r="G1971" i="1" s="1"/>
  <c r="J1971" i="1" a="1"/>
  <c r="J1971" i="1"/>
  <c r="J1970" i="1" a="1"/>
  <c r="J1970" i="1" s="1"/>
  <c r="G1970" i="1" a="1"/>
  <c r="G1970" i="1" s="1"/>
  <c r="F1968" i="1" a="1"/>
  <c r="F1968" i="1" s="1"/>
  <c r="H1974" i="1" a="1"/>
  <c r="H1974" i="1" s="1"/>
  <c r="I1974" i="1" a="1"/>
  <c r="I1974" i="1" s="1"/>
  <c r="K1976" i="1" a="1"/>
  <c r="K1976" i="1" s="1"/>
  <c r="J1976" i="1" a="1"/>
  <c r="J1976" i="1" s="1"/>
  <c r="F1971" i="1" a="1"/>
  <c r="F1971" i="1"/>
  <c r="I1976" i="1" a="1"/>
  <c r="I1976" i="1"/>
  <c r="H1976" i="1" a="1"/>
  <c r="H1976" i="1" s="1"/>
  <c r="G1976" i="1" a="1"/>
  <c r="G1976" i="1" s="1"/>
  <c r="I1975" i="1" a="1"/>
  <c r="I1975" i="1" s="1"/>
  <c r="G1974" i="1" a="1"/>
  <c r="G1974" i="1" s="1"/>
  <c r="K1971" i="1" a="1"/>
  <c r="K1971" i="1" s="1"/>
  <c r="K1974" i="1" a="1"/>
  <c r="K1974" i="1" s="1"/>
  <c r="F1974" i="1" a="1"/>
  <c r="F1974" i="1" s="1"/>
  <c r="G1975" i="1" a="1"/>
  <c r="G1975" i="1" s="1"/>
  <c r="F1976" i="1" a="1"/>
  <c r="F1976" i="1"/>
  <c r="K1975" i="1" a="1"/>
  <c r="K1975" i="1"/>
  <c r="J1975" i="1" a="1"/>
  <c r="J1975" i="1" s="1"/>
  <c r="H1975" i="1" a="1"/>
  <c r="H1975" i="1" s="1"/>
  <c r="K1970" i="1" a="1"/>
  <c r="K1970" i="1" s="1"/>
  <c r="G1965" i="1" a="1"/>
  <c r="G1965" i="1" s="1"/>
  <c r="K1964" i="1" a="1"/>
  <c r="K1964" i="1" s="1"/>
  <c r="I1964" i="1" a="1"/>
  <c r="I1964" i="1" s="1"/>
  <c r="G1964" i="1" a="1"/>
  <c r="G1964" i="1" s="1"/>
  <c r="J1960" i="1" a="1"/>
  <c r="J1960" i="1" s="1"/>
  <c r="G1959" i="1" a="1"/>
  <c r="G1959" i="1" s="1"/>
  <c r="F1958" i="1" a="1"/>
  <c r="F1958" i="1"/>
  <c r="F1965" i="1" a="1"/>
  <c r="F1965" i="1" s="1"/>
  <c r="J1963" i="1" a="1"/>
  <c r="J1963" i="1" s="1"/>
  <c r="J1964" i="1" a="1"/>
  <c r="J1964" i="1" s="1"/>
  <c r="H1964" i="1" a="1"/>
  <c r="H1964" i="1" s="1"/>
  <c r="F1960" i="1" a="1"/>
  <c r="F1960" i="1" s="1"/>
  <c r="I1958" i="1" a="1"/>
  <c r="I1958" i="1" s="1"/>
  <c r="K1955" i="1" a="1"/>
  <c r="K1955" i="1" s="1"/>
  <c r="H1959" i="1" a="1"/>
  <c r="H1959" i="1" s="1"/>
  <c r="K1956" i="1" a="1"/>
  <c r="K1956" i="1" s="1"/>
  <c r="H1962" i="1" a="1"/>
  <c r="H1962" i="1" s="1"/>
  <c r="I1959" i="1" a="1"/>
  <c r="I1959" i="1" s="1"/>
  <c r="F1956" i="1" a="1"/>
  <c r="F1956" i="1" s="1"/>
  <c r="F1963" i="1" a="1"/>
  <c r="F1963" i="1" s="1"/>
  <c r="H1958" i="1" a="1"/>
  <c r="H1958" i="1" s="1"/>
  <c r="F1962" i="1" a="1"/>
  <c r="F1962" i="1" s="1"/>
  <c r="K1957" i="1" a="1"/>
  <c r="K1957" i="1" s="1"/>
  <c r="J1961" i="1" a="1"/>
  <c r="J1961" i="1" s="1"/>
  <c r="I1961" i="1" a="1"/>
  <c r="I1961" i="1" s="1"/>
  <c r="I1957" i="1" a="1"/>
  <c r="I1957" i="1" s="1"/>
  <c r="G1958" i="1" a="1"/>
  <c r="G1958" i="1" s="1"/>
  <c r="I1962" i="1" a="1"/>
  <c r="I1962" i="1" s="1"/>
  <c r="I1960" i="1" a="1"/>
  <c r="I1960" i="1" s="1"/>
  <c r="F1959" i="1" a="1"/>
  <c r="F1959" i="1" s="1"/>
  <c r="J1957" i="1" a="1"/>
  <c r="J1957" i="1" s="1"/>
  <c r="I1965" i="1" a="1"/>
  <c r="I1965" i="1" s="1"/>
  <c r="F1961" i="1" a="1"/>
  <c r="F1961" i="1" s="1"/>
  <c r="H1960" i="1" a="1"/>
  <c r="H1960" i="1" s="1"/>
  <c r="I1963" i="1" a="1"/>
  <c r="I1963" i="1" s="1"/>
  <c r="G1963" i="1" a="1"/>
  <c r="G1963" i="1" s="1"/>
  <c r="G1961" i="1" a="1"/>
  <c r="G1961" i="1"/>
  <c r="F1957" i="1" a="1"/>
  <c r="F1957" i="1" s="1"/>
  <c r="I1956" i="1" a="1"/>
  <c r="I1956" i="1" s="1"/>
  <c r="H1963" i="1" a="1"/>
  <c r="H1963" i="1" s="1"/>
  <c r="G1957" i="1" a="1"/>
  <c r="G1957" i="1" s="1"/>
  <c r="H1966" i="1" a="1"/>
  <c r="H1966" i="1" s="1"/>
  <c r="J1958" i="1" a="1"/>
  <c r="J1958" i="1" s="1"/>
  <c r="G1966" i="1" a="1"/>
  <c r="G1966" i="1" s="1"/>
  <c r="F1966" i="1" a="1"/>
  <c r="F1966" i="1" s="1"/>
  <c r="H1965" i="1" a="1"/>
  <c r="H1965" i="1"/>
  <c r="K1961" i="1" a="1"/>
  <c r="K1961" i="1" s="1"/>
  <c r="G1960" i="1" a="1"/>
  <c r="G1960" i="1"/>
  <c r="K1965" i="1" a="1"/>
  <c r="K1965" i="1" s="1"/>
  <c r="J1965" i="1" a="1"/>
  <c r="J1965" i="1" s="1"/>
  <c r="F1964" i="1" a="1"/>
  <c r="F1964" i="1" s="1"/>
  <c r="G1962" i="1" a="1"/>
  <c r="G1962" i="1" s="1"/>
  <c r="J1962" i="1" a="1"/>
  <c r="J1962" i="1" s="1"/>
  <c r="K1962" i="1" a="1"/>
  <c r="K1962" i="1" s="1"/>
  <c r="H1961" i="1" a="1"/>
  <c r="H1961" i="1" s="1"/>
  <c r="K1958" i="1" a="1"/>
  <c r="K1958" i="1"/>
  <c r="K1960" i="1" a="1"/>
  <c r="K1960" i="1"/>
  <c r="K1959" i="1" a="1"/>
  <c r="K1959" i="1"/>
  <c r="J1956" i="1" a="1"/>
  <c r="J1956" i="1" s="1"/>
  <c r="H1956" i="1" a="1"/>
  <c r="H1956" i="1" s="1"/>
  <c r="K1963" i="1" a="1"/>
  <c r="K1963" i="1" s="1"/>
  <c r="J1959" i="1" a="1"/>
  <c r="J1959" i="1" s="1"/>
  <c r="H1957" i="1" a="1"/>
  <c r="H1957" i="1" s="1"/>
  <c r="G1956" i="1" a="1"/>
  <c r="G1956" i="1" s="1"/>
  <c r="H1953" i="1" a="1"/>
  <c r="H1953" i="1" s="1"/>
  <c r="J1952" i="1" a="1"/>
  <c r="J1952" i="1" s="1"/>
  <c r="G1945" i="1" a="1"/>
  <c r="G1945" i="1" s="1"/>
  <c r="F1945" i="1" a="1"/>
  <c r="F1945" i="1"/>
  <c r="F1953" i="1" a="1"/>
  <c r="F1953" i="1" s="1"/>
  <c r="I1952" i="1" a="1"/>
  <c r="I1952" i="1" s="1"/>
  <c r="F1946" i="1" a="1"/>
  <c r="F1946" i="1" s="1"/>
  <c r="H1952" i="1" a="1"/>
  <c r="H1952" i="1" s="1"/>
  <c r="G1952" i="1" a="1"/>
  <c r="G1952" i="1" s="1"/>
  <c r="G1951" i="1" a="1"/>
  <c r="G1951" i="1" s="1"/>
  <c r="K1951" i="1" a="1"/>
  <c r="K1951" i="1" s="1"/>
  <c r="I1948" i="1" a="1"/>
  <c r="I1948" i="1" s="1"/>
  <c r="I1950" i="1" a="1"/>
  <c r="I1950" i="1"/>
  <c r="I1947" i="1" a="1"/>
  <c r="I1947" i="1" s="1"/>
  <c r="I1946" i="1" a="1"/>
  <c r="I1946" i="1" s="1"/>
  <c r="K1945" i="1" a="1"/>
  <c r="K1945" i="1" s="1"/>
  <c r="H1951" i="1" a="1"/>
  <c r="H1951" i="1" s="1"/>
  <c r="K1950" i="1" a="1"/>
  <c r="K1950" i="1" s="1"/>
  <c r="J1950" i="1" a="1"/>
  <c r="J1950" i="1" s="1"/>
  <c r="J1944" i="1" a="1"/>
  <c r="J1944" i="1" s="1"/>
  <c r="G1950" i="1" a="1"/>
  <c r="G1950" i="1" s="1"/>
  <c r="G1947" i="1" a="1"/>
  <c r="G1947" i="1" s="1"/>
  <c r="G1946" i="1" a="1"/>
  <c r="G1946" i="1" s="1"/>
  <c r="K1947" i="1" a="1"/>
  <c r="K1947" i="1" s="1"/>
  <c r="H1947" i="1" a="1"/>
  <c r="H1947" i="1" s="1"/>
  <c r="K1946" i="1" a="1"/>
  <c r="K1946" i="1" s="1"/>
  <c r="H1946" i="1" a="1"/>
  <c r="H1946" i="1" s="1"/>
  <c r="F1950" i="1" a="1"/>
  <c r="F1950" i="1" s="1"/>
  <c r="I1945" i="1" a="1"/>
  <c r="I1945" i="1" s="1"/>
  <c r="I1951" i="1" a="1"/>
  <c r="I1951" i="1" s="1"/>
  <c r="J1955" i="1" a="1"/>
  <c r="J1955" i="1" s="1"/>
  <c r="I1955" i="1" a="1"/>
  <c r="I1955" i="1" s="1"/>
  <c r="F1955" i="1" a="1"/>
  <c r="F1955" i="1" s="1"/>
  <c r="J1954" i="1" a="1"/>
  <c r="J1954" i="1"/>
  <c r="G1948" i="1" a="1"/>
  <c r="G1948" i="1" s="1"/>
  <c r="J1945" i="1" a="1"/>
  <c r="J1945" i="1" s="1"/>
  <c r="K1944" i="1" a="1"/>
  <c r="K1944" i="1" s="1"/>
  <c r="G1953" i="1" a="1"/>
  <c r="G1953" i="1" s="1"/>
  <c r="K1954" i="1" a="1"/>
  <c r="K1954" i="1" s="1"/>
  <c r="J1953" i="1" a="1"/>
  <c r="J1953" i="1" s="1"/>
  <c r="H1945" i="1" a="1"/>
  <c r="H1945" i="1" s="1"/>
  <c r="K1952" i="1" a="1"/>
  <c r="K1952" i="1" s="1"/>
  <c r="K1948" i="1" a="1"/>
  <c r="K1948" i="1"/>
  <c r="H1955" i="1" a="1"/>
  <c r="H1955" i="1" s="1"/>
  <c r="G1955" i="1" a="1"/>
  <c r="G1955" i="1" s="1"/>
  <c r="I1954" i="1" a="1"/>
  <c r="I1954" i="1" s="1"/>
  <c r="H1954" i="1" a="1"/>
  <c r="H1954" i="1" s="1"/>
  <c r="J1947" i="1" a="1"/>
  <c r="J1947" i="1" s="1"/>
  <c r="J1946" i="1" a="1"/>
  <c r="J1946" i="1" s="1"/>
  <c r="F1951" i="1" a="1"/>
  <c r="F1951" i="1" s="1"/>
  <c r="J1951" i="1" a="1"/>
  <c r="J1951" i="1" s="1"/>
  <c r="G1954" i="1" a="1"/>
  <c r="G1954" i="1" s="1"/>
  <c r="K1953" i="1" a="1"/>
  <c r="K1953" i="1"/>
  <c r="J1948" i="1" a="1"/>
  <c r="J1948" i="1"/>
  <c r="F1954" i="1" a="1"/>
  <c r="F1954" i="1" s="1"/>
  <c r="I1953" i="1" a="1"/>
  <c r="I1953" i="1" s="1"/>
  <c r="F1952" i="1" a="1"/>
  <c r="F1952" i="1" s="1"/>
  <c r="F1948" i="1" a="1"/>
  <c r="F1948" i="1" s="1"/>
  <c r="F1947" i="1" a="1"/>
  <c r="F1947" i="1" s="1"/>
  <c r="H1948" i="1" a="1"/>
  <c r="H1948" i="1" s="1"/>
  <c r="H1950" i="1" a="1"/>
  <c r="H1950" i="1" s="1"/>
  <c r="J1939" i="1" a="1"/>
  <c r="J1939" i="1" s="1"/>
  <c r="G1939" i="1" a="1"/>
  <c r="G1939" i="1" s="1"/>
  <c r="H1935" i="1" a="1"/>
  <c r="H1935" i="1" s="1"/>
  <c r="G1935" i="1" a="1"/>
  <c r="G1935" i="1" s="1"/>
  <c r="H1937" i="1" a="1"/>
  <c r="H1937" i="1" s="1"/>
  <c r="J1937" i="1" a="1"/>
  <c r="J1937" i="1" s="1"/>
  <c r="F1935" i="1" a="1"/>
  <c r="F1935" i="1" s="1"/>
  <c r="I1939" i="1" a="1"/>
  <c r="I1939" i="1" s="1"/>
  <c r="H1934" i="1" a="1"/>
  <c r="H1934" i="1" s="1"/>
  <c r="J1940" i="1" a="1"/>
  <c r="J1940" i="1" s="1"/>
  <c r="I1937" i="1" a="1"/>
  <c r="I1937" i="1"/>
  <c r="K1939" i="1" a="1"/>
  <c r="K1939" i="1" s="1"/>
  <c r="H1939" i="1" a="1"/>
  <c r="H1939" i="1"/>
  <c r="K1937" i="1" a="1"/>
  <c r="K1937" i="1" s="1"/>
  <c r="I1944" i="1" a="1"/>
  <c r="I1944" i="1" s="1"/>
  <c r="H1944" i="1" a="1"/>
  <c r="H1944" i="1" s="1"/>
  <c r="K1943" i="1" a="1"/>
  <c r="K1943" i="1" s="1"/>
  <c r="G1944" i="1" a="1"/>
  <c r="G1944" i="1" s="1"/>
  <c r="I1940" i="1" a="1"/>
  <c r="I1940" i="1" s="1"/>
  <c r="K1942" i="1" a="1"/>
  <c r="K1942" i="1" s="1"/>
  <c r="I1934" i="1" a="1"/>
  <c r="I1934" i="1"/>
  <c r="J1942" i="1" a="1"/>
  <c r="J1942" i="1" s="1"/>
  <c r="I1942" i="1" a="1"/>
  <c r="I1942" i="1" s="1"/>
  <c r="H1942" i="1" a="1"/>
  <c r="H1942" i="1" s="1"/>
  <c r="G1942" i="1" a="1"/>
  <c r="G1942" i="1" s="1"/>
  <c r="K1936" i="1" a="1"/>
  <c r="K1936" i="1" s="1"/>
  <c r="K1941" i="1" a="1"/>
  <c r="K1941" i="1" s="1"/>
  <c r="I1935" i="1" a="1"/>
  <c r="I1935" i="1" s="1"/>
  <c r="J1938" i="1" a="1"/>
  <c r="J1938" i="1" s="1"/>
  <c r="H1936" i="1" a="1"/>
  <c r="H1936" i="1" s="1"/>
  <c r="I1936" i="1" a="1"/>
  <c r="I1936" i="1" s="1"/>
  <c r="F1937" i="1" a="1"/>
  <c r="F1937" i="1" s="1"/>
  <c r="F1938" i="1" a="1"/>
  <c r="F1938" i="1" s="1"/>
  <c r="G1940" i="1" a="1"/>
  <c r="G1940" i="1" s="1"/>
  <c r="F1941" i="1" a="1"/>
  <c r="F1941" i="1" s="1"/>
  <c r="F1939" i="1" a="1"/>
  <c r="F1939" i="1" s="1"/>
  <c r="H1943" i="1" a="1"/>
  <c r="H1943" i="1" s="1"/>
  <c r="F1943" i="1" a="1"/>
  <c r="F1943" i="1" s="1"/>
  <c r="K1938" i="1" a="1"/>
  <c r="K1938" i="1" s="1"/>
  <c r="F1944" i="1" a="1"/>
  <c r="F1944" i="1" s="1"/>
  <c r="J1943" i="1" a="1"/>
  <c r="J1943" i="1" s="1"/>
  <c r="I1943" i="1" a="1"/>
  <c r="I1943" i="1" s="1"/>
  <c r="H1938" i="1" a="1"/>
  <c r="H1938" i="1"/>
  <c r="I1938" i="1" a="1"/>
  <c r="I1938" i="1" s="1"/>
  <c r="G1943" i="1" a="1"/>
  <c r="G1943" i="1" s="1"/>
  <c r="G1937" i="1" a="1"/>
  <c r="G1937" i="1" s="1"/>
  <c r="F1934" i="1" a="1"/>
  <c r="F1934" i="1" s="1"/>
  <c r="G1936" i="1" a="1"/>
  <c r="G1936" i="1" s="1"/>
  <c r="F1942" i="1" a="1"/>
  <c r="F1942" i="1" s="1"/>
  <c r="H1940" i="1" a="1"/>
  <c r="H1940" i="1" s="1"/>
  <c r="G1938" i="1" a="1"/>
  <c r="G1938" i="1"/>
  <c r="J1936" i="1" a="1"/>
  <c r="J1936" i="1" s="1"/>
  <c r="J1941" i="1" a="1"/>
  <c r="J1941" i="1"/>
  <c r="I1941" i="1" a="1"/>
  <c r="I1941" i="1" s="1"/>
  <c r="H1941" i="1" a="1"/>
  <c r="H1941" i="1" s="1"/>
  <c r="G1941" i="1" a="1"/>
  <c r="G1941" i="1" s="1"/>
  <c r="K1940" i="1" a="1"/>
  <c r="K1940" i="1" s="1"/>
  <c r="F1936" i="1" a="1"/>
  <c r="F1936" i="1" s="1"/>
  <c r="J1935" i="1" a="1"/>
  <c r="J1935" i="1" s="1"/>
  <c r="K1935" i="1" a="1"/>
  <c r="K1935" i="1" s="1"/>
  <c r="G1934" i="1" a="1"/>
  <c r="G1934" i="1" s="1"/>
  <c r="K1934" i="1" a="1"/>
  <c r="K1934" i="1" s="1"/>
  <c r="J1934" i="1" a="1"/>
  <c r="J1934" i="1" s="1"/>
  <c r="F1940" i="1" a="1"/>
  <c r="F1940" i="1" s="1"/>
  <c r="H1931" i="1" a="1"/>
  <c r="H1931" i="1" s="1"/>
  <c r="I1931" i="1" a="1"/>
  <c r="I1931" i="1" s="1"/>
  <c r="H1930" i="1" a="1"/>
  <c r="H1930" i="1" s="1"/>
  <c r="G1929" i="1" a="1"/>
  <c r="G1929" i="1" s="1"/>
  <c r="K1932" i="1" a="1"/>
  <c r="K1932" i="1" s="1"/>
  <c r="H1928" i="1" a="1"/>
  <c r="H1928" i="1" s="1"/>
  <c r="G1932" i="1" a="1"/>
  <c r="G1932" i="1"/>
  <c r="J1925" i="1" a="1"/>
  <c r="J1925" i="1"/>
  <c r="G1931" i="1" a="1"/>
  <c r="G1931" i="1" s="1"/>
  <c r="I1932" i="1" a="1"/>
  <c r="I1932" i="1" s="1"/>
  <c r="H1932" i="1" a="1"/>
  <c r="H1932" i="1" s="1"/>
  <c r="K1931" i="1" a="1"/>
  <c r="K1931" i="1" s="1"/>
  <c r="I1923" i="1" a="1"/>
  <c r="I1923" i="1" s="1"/>
  <c r="J1931" i="1" a="1"/>
  <c r="J1931" i="1" s="1"/>
  <c r="F1931" i="1" a="1"/>
  <c r="F1931" i="1" s="1"/>
  <c r="H1925" i="1" a="1"/>
  <c r="H1925" i="1" s="1"/>
  <c r="K1926" i="1" a="1"/>
  <c r="K1926" i="1" s="1"/>
  <c r="K1930" i="1" a="1"/>
  <c r="K1930" i="1"/>
  <c r="J1930" i="1" a="1"/>
  <c r="J1930" i="1" s="1"/>
  <c r="K1929" i="1" a="1"/>
  <c r="K1929" i="1" s="1"/>
  <c r="I1924" i="1" a="1"/>
  <c r="I1924" i="1" s="1"/>
  <c r="H1926" i="1" a="1"/>
  <c r="H1926" i="1" s="1"/>
  <c r="G1928" i="1" a="1"/>
  <c r="G1928" i="1" s="1"/>
  <c r="G1930" i="1" a="1"/>
  <c r="G1930" i="1" s="1"/>
  <c r="I1929" i="1" a="1"/>
  <c r="I1929" i="1" s="1"/>
  <c r="J1926" i="1" a="1"/>
  <c r="J1926" i="1" s="1"/>
  <c r="G1924" i="1" a="1"/>
  <c r="G1924" i="1"/>
  <c r="J1929" i="1" a="1"/>
  <c r="J1929" i="1" s="1"/>
  <c r="H1924" i="1" a="1"/>
  <c r="H1924" i="1" s="1"/>
  <c r="H1927" i="1" a="1"/>
  <c r="H1927" i="1" s="1"/>
  <c r="F1925" i="1" a="1"/>
  <c r="F1925" i="1" s="1"/>
  <c r="F1930" i="1" a="1"/>
  <c r="F1930" i="1" s="1"/>
  <c r="I1930" i="1" a="1"/>
  <c r="I1930" i="1" s="1"/>
  <c r="K1925" i="1" a="1"/>
  <c r="K1925" i="1" s="1"/>
  <c r="H1929" i="1" a="1"/>
  <c r="H1929" i="1" s="1"/>
  <c r="J1927" i="1" a="1"/>
  <c r="J1927" i="1" s="1"/>
  <c r="I1925" i="1" a="1"/>
  <c r="I1925" i="1" s="1"/>
  <c r="J1928" i="1" a="1"/>
  <c r="J1928" i="1" s="1"/>
  <c r="G1925" i="1" a="1"/>
  <c r="G1925" i="1" s="1"/>
  <c r="F1929" i="1" a="1"/>
  <c r="F1929" i="1" s="1"/>
  <c r="F1926" i="1" a="1"/>
  <c r="F1926" i="1" s="1"/>
  <c r="K1928" i="1" a="1"/>
  <c r="K1928" i="1" s="1"/>
  <c r="F1924" i="1" a="1"/>
  <c r="F1924" i="1" s="1"/>
  <c r="H1923" i="1" a="1"/>
  <c r="H1923" i="1" s="1"/>
  <c r="K1933" i="1" a="1"/>
  <c r="K1933" i="1" s="1"/>
  <c r="G1926" i="1" a="1"/>
  <c r="G1926" i="1" s="1"/>
  <c r="J1933" i="1" a="1"/>
  <c r="J1933" i="1"/>
  <c r="J1932" i="1" a="1"/>
  <c r="J1932" i="1"/>
  <c r="F1928" i="1" a="1"/>
  <c r="F1928" i="1" s="1"/>
  <c r="I1927" i="1" a="1"/>
  <c r="I1927" i="1" s="1"/>
  <c r="I1928" i="1" a="1"/>
  <c r="I1928" i="1" s="1"/>
  <c r="K1923" i="1" a="1"/>
  <c r="K1923" i="1" s="1"/>
  <c r="J1923" i="1" a="1"/>
  <c r="J1923" i="1" s="1"/>
  <c r="H1933" i="1" a="1"/>
  <c r="H1933" i="1" s="1"/>
  <c r="F1932" i="1" a="1"/>
  <c r="F1932" i="1" s="1"/>
  <c r="I1933" i="1" a="1"/>
  <c r="I1933" i="1" s="1"/>
  <c r="K1927" i="1" a="1"/>
  <c r="K1927" i="1"/>
  <c r="K1924" i="1" a="1"/>
  <c r="K1924" i="1" s="1"/>
  <c r="G1933" i="1" a="1"/>
  <c r="G1933" i="1" s="1"/>
  <c r="F1933" i="1" a="1"/>
  <c r="F1933" i="1" s="1"/>
  <c r="G1927" i="1" a="1"/>
  <c r="G1927" i="1" s="1"/>
  <c r="F1927" i="1" a="1"/>
  <c r="F1927" i="1" s="1"/>
  <c r="I1926" i="1" a="1"/>
  <c r="I1926" i="1" s="1"/>
  <c r="J1924" i="1" a="1"/>
  <c r="J1924" i="1" s="1"/>
  <c r="J1916" i="1" a="1"/>
  <c r="J1916" i="1" s="1"/>
  <c r="H1914" i="1" a="1"/>
  <c r="H1914" i="1" s="1"/>
  <c r="F1914" i="1" a="1"/>
  <c r="F1914" i="1"/>
  <c r="I1916" i="1" a="1"/>
  <c r="I1916" i="1"/>
  <c r="H1916" i="1" a="1"/>
  <c r="H1916" i="1"/>
  <c r="F1916" i="1" a="1"/>
  <c r="F1916" i="1" s="1"/>
  <c r="I1915" i="1" a="1"/>
  <c r="I1915" i="1" s="1"/>
  <c r="K1913" i="1" a="1"/>
  <c r="K1913" i="1" s="1"/>
  <c r="G1917" i="1" a="1"/>
  <c r="G1917" i="1" s="1"/>
  <c r="J1922" i="1" a="1"/>
  <c r="J1922" i="1" s="1"/>
  <c r="G1922" i="1" a="1"/>
  <c r="G1922" i="1" s="1"/>
  <c r="K1917" i="1" a="1"/>
  <c r="K1917" i="1" s="1"/>
  <c r="I1920" i="1" a="1"/>
  <c r="I1920" i="1" s="1"/>
  <c r="F1921" i="1" a="1"/>
  <c r="F1921" i="1" s="1"/>
  <c r="J1921" i="1" a="1"/>
  <c r="J1921" i="1"/>
  <c r="G1915" i="1" a="1"/>
  <c r="G1915" i="1" s="1"/>
  <c r="H1920" i="1" a="1"/>
  <c r="H1920" i="1" s="1"/>
  <c r="F1922" i="1" a="1"/>
  <c r="F1922" i="1" s="1"/>
  <c r="F1920" i="1" a="1"/>
  <c r="F1920" i="1" s="1"/>
  <c r="K1919" i="1" a="1"/>
  <c r="K1919" i="1" s="1"/>
  <c r="G1919" i="1" a="1"/>
  <c r="G1919" i="1" s="1"/>
  <c r="F1918" i="1" a="1"/>
  <c r="F1918" i="1" s="1"/>
  <c r="I1917" i="1" a="1"/>
  <c r="I1917" i="1" s="1"/>
  <c r="I1914" i="1" a="1"/>
  <c r="I1914" i="1"/>
  <c r="F1917" i="1" a="1"/>
  <c r="F1917" i="1" s="1"/>
  <c r="K1912" i="1" a="1"/>
  <c r="K1912" i="1" s="1"/>
  <c r="I1921" i="1" a="1"/>
  <c r="I1921" i="1" s="1"/>
  <c r="G1921" i="1" a="1"/>
  <c r="G1921" i="1" s="1"/>
  <c r="F1915" i="1" a="1"/>
  <c r="F1915" i="1" s="1"/>
  <c r="J1913" i="1" a="1"/>
  <c r="J1913" i="1" s="1"/>
  <c r="G1916" i="1" a="1"/>
  <c r="G1916" i="1" s="1"/>
  <c r="F1919" i="1" a="1"/>
  <c r="F1919" i="1" s="1"/>
  <c r="H1917" i="1" a="1"/>
  <c r="H1917" i="1" s="1"/>
  <c r="J1915" i="1" a="1"/>
  <c r="J1915" i="1" s="1"/>
  <c r="F1913" i="1" a="1"/>
  <c r="F1913" i="1" s="1"/>
  <c r="K1921" i="1" a="1"/>
  <c r="K1921" i="1" s="1"/>
  <c r="H1915" i="1" a="1"/>
  <c r="H1915" i="1" s="1"/>
  <c r="H1921" i="1" a="1"/>
  <c r="H1921" i="1" s="1"/>
  <c r="J1918" i="1" a="1"/>
  <c r="J1918" i="1" s="1"/>
  <c r="H1919" i="1" a="1"/>
  <c r="H1919" i="1" s="1"/>
  <c r="G1920" i="1" a="1"/>
  <c r="G1920" i="1" s="1"/>
  <c r="I1918" i="1" a="1"/>
  <c r="I1918" i="1" s="1"/>
  <c r="K1916" i="1" a="1"/>
  <c r="K1916" i="1" s="1"/>
  <c r="J1914" i="1" a="1"/>
  <c r="J1914" i="1"/>
  <c r="G1913" i="1" a="1"/>
  <c r="G1913" i="1"/>
  <c r="H1913" i="1" a="1"/>
  <c r="H1913" i="1" s="1"/>
  <c r="J1912" i="1" a="1"/>
  <c r="J1912" i="1" s="1"/>
  <c r="K1914" i="1" a="1"/>
  <c r="K1914" i="1" s="1"/>
  <c r="G1923" i="1" a="1"/>
  <c r="G1923" i="1" s="1"/>
  <c r="F1923" i="1" a="1"/>
  <c r="F1923" i="1" s="1"/>
  <c r="K1915" i="1" a="1"/>
  <c r="K1915" i="1" s="1"/>
  <c r="K1922" i="1" a="1"/>
  <c r="K1922" i="1" s="1"/>
  <c r="I1913" i="1" a="1"/>
  <c r="I1913" i="1" s="1"/>
  <c r="H1918" i="1" a="1"/>
  <c r="H1918" i="1"/>
  <c r="I1922" i="1" a="1"/>
  <c r="I1922" i="1" s="1"/>
  <c r="G1914" i="1" a="1"/>
  <c r="G1914" i="1" s="1"/>
  <c r="H1922" i="1" a="1"/>
  <c r="H1922" i="1" s="1"/>
  <c r="K1920" i="1" a="1"/>
  <c r="K1920" i="1" s="1"/>
  <c r="J1920" i="1" a="1"/>
  <c r="J1920" i="1" s="1"/>
  <c r="J1919" i="1" a="1"/>
  <c r="J1919" i="1" s="1"/>
  <c r="K1918" i="1" a="1"/>
  <c r="K1918" i="1" s="1"/>
  <c r="I1919" i="1" a="1"/>
  <c r="I1919" i="1" s="1"/>
  <c r="G1918" i="1" a="1"/>
  <c r="G1918" i="1" s="1"/>
  <c r="J1917" i="1" a="1"/>
  <c r="J1917" i="1"/>
  <c r="H1907" i="1" a="1"/>
  <c r="H1907" i="1"/>
  <c r="G1907" i="1" a="1"/>
  <c r="G1907" i="1" s="1"/>
  <c r="I1903" i="1" a="1"/>
  <c r="I1903" i="1" s="1"/>
  <c r="H1904" i="1" a="1"/>
  <c r="H1904" i="1" s="1"/>
  <c r="I1905" i="1" a="1"/>
  <c r="I1905" i="1" s="1"/>
  <c r="G1904" i="1" a="1"/>
  <c r="G1904" i="1" s="1"/>
  <c r="F1902" i="1" a="1"/>
  <c r="F1902" i="1" s="1"/>
  <c r="J1903" i="1" a="1"/>
  <c r="J1903" i="1" s="1"/>
  <c r="F1907" i="1" a="1"/>
  <c r="F1907" i="1" s="1"/>
  <c r="F1905" i="1" a="1"/>
  <c r="F1905" i="1" s="1"/>
  <c r="G1903" i="1" a="1"/>
  <c r="G1903" i="1" s="1"/>
  <c r="J1902" i="1" a="1"/>
  <c r="J1902" i="1" s="1"/>
  <c r="G1906" i="1" a="1"/>
  <c r="G1906" i="1" s="1"/>
  <c r="G1905" i="1" a="1"/>
  <c r="G1905" i="1" s="1"/>
  <c r="I1912" i="1" a="1"/>
  <c r="I1912" i="1" s="1"/>
  <c r="J1904" i="1" a="1"/>
  <c r="J1904" i="1" s="1"/>
  <c r="K1911" i="1" a="1"/>
  <c r="K1911" i="1" s="1"/>
  <c r="H1912" i="1" a="1"/>
  <c r="H1912" i="1" s="1"/>
  <c r="G1912" i="1" a="1"/>
  <c r="G1912" i="1"/>
  <c r="F1912" i="1" a="1"/>
  <c r="F1912" i="1" s="1"/>
  <c r="I1911" i="1" a="1"/>
  <c r="I1911" i="1" s="1"/>
  <c r="I1910" i="1" a="1"/>
  <c r="I1910" i="1" s="1"/>
  <c r="G1908" i="1" a="1"/>
  <c r="G1908" i="1" s="1"/>
  <c r="K1902" i="1" a="1"/>
  <c r="K1902" i="1" s="1"/>
  <c r="J1906" i="1" a="1"/>
  <c r="J1906" i="1" s="1"/>
  <c r="I1904" i="1" a="1"/>
  <c r="I1904" i="1" s="1"/>
  <c r="J1911" i="1" a="1"/>
  <c r="J1911" i="1" s="1"/>
  <c r="H1911" i="1" a="1"/>
  <c r="H1911" i="1" s="1"/>
  <c r="K1906" i="1" a="1"/>
  <c r="K1906" i="1"/>
  <c r="F1904" i="1" a="1"/>
  <c r="F1904" i="1" s="1"/>
  <c r="H1903" i="1" a="1"/>
  <c r="H1903" i="1" s="1"/>
  <c r="G1911" i="1" a="1"/>
  <c r="G1911" i="1" s="1"/>
  <c r="F1908" i="1" a="1"/>
  <c r="F1908" i="1" s="1"/>
  <c r="H1906" i="1" a="1"/>
  <c r="H1906" i="1" s="1"/>
  <c r="J1905" i="1" a="1"/>
  <c r="J1905" i="1" s="1"/>
  <c r="F1909" i="1" a="1"/>
  <c r="F1909" i="1" s="1"/>
  <c r="K1904" i="1" a="1"/>
  <c r="K1904" i="1" s="1"/>
  <c r="F1911" i="1" a="1"/>
  <c r="F1911" i="1" s="1"/>
  <c r="K1910" i="1" a="1"/>
  <c r="K1910" i="1" s="1"/>
  <c r="J1910" i="1" a="1"/>
  <c r="J1910" i="1" s="1"/>
  <c r="H1910" i="1" a="1"/>
  <c r="H1910" i="1"/>
  <c r="G1910" i="1" a="1"/>
  <c r="G1910" i="1" s="1"/>
  <c r="F1910" i="1" a="1"/>
  <c r="F1910" i="1" s="1"/>
  <c r="K1909" i="1" a="1"/>
  <c r="K1909" i="1" s="1"/>
  <c r="J1909" i="1" a="1"/>
  <c r="J1909" i="1" s="1"/>
  <c r="F1906" i="1" a="1"/>
  <c r="F1906" i="1" s="1"/>
  <c r="F1903" i="1" a="1"/>
  <c r="F1903" i="1" s="1"/>
  <c r="I1909" i="1" a="1"/>
  <c r="I1909" i="1" s="1"/>
  <c r="H1909" i="1" a="1"/>
  <c r="H1909" i="1" s="1"/>
  <c r="G1909" i="1" a="1"/>
  <c r="G1909" i="1" s="1"/>
  <c r="K1908" i="1" a="1"/>
  <c r="K1908" i="1"/>
  <c r="J1908" i="1" a="1"/>
  <c r="J1908" i="1" s="1"/>
  <c r="I1906" i="1" a="1"/>
  <c r="I1906" i="1" s="1"/>
  <c r="I1902" i="1" a="1"/>
  <c r="I1902" i="1" s="1"/>
  <c r="I1908" i="1" a="1"/>
  <c r="I1908" i="1" s="1"/>
  <c r="H1908" i="1" a="1"/>
  <c r="H1908" i="1" s="1"/>
  <c r="H1905" i="1" a="1"/>
  <c r="H1905" i="1" s="1"/>
  <c r="K1907" i="1" a="1"/>
  <c r="K1907" i="1" s="1"/>
  <c r="J1907" i="1" a="1"/>
  <c r="J1907" i="1"/>
  <c r="I1907" i="1" a="1"/>
  <c r="I1907" i="1" s="1"/>
  <c r="K1905" i="1" a="1"/>
  <c r="K1905" i="1"/>
  <c r="K1903" i="1" a="1"/>
  <c r="K1903" i="1" s="1"/>
  <c r="H1902" i="1" a="1"/>
  <c r="H1902" i="1" s="1"/>
  <c r="G1902" i="1" a="1"/>
  <c r="G1902" i="1" s="1"/>
  <c r="G1900" i="1" a="1"/>
  <c r="G1900" i="1" s="1"/>
  <c r="F1900" i="1" a="1"/>
  <c r="F1900" i="1" s="1"/>
  <c r="F1899" i="1" a="1"/>
  <c r="F1899" i="1" s="1"/>
  <c r="K1901" i="1" a="1"/>
  <c r="K1901" i="1" s="1"/>
  <c r="J1901" i="1" a="1"/>
  <c r="J1901" i="1"/>
  <c r="I1901" i="1" a="1"/>
  <c r="I1901" i="1"/>
  <c r="H1901" i="1" a="1"/>
  <c r="H1901" i="1" s="1"/>
  <c r="G1901" i="1" a="1"/>
  <c r="G1901" i="1" s="1"/>
  <c r="J1900" i="1" a="1"/>
  <c r="J1900" i="1" s="1"/>
  <c r="H1900" i="1" a="1"/>
  <c r="H1900" i="1" s="1"/>
  <c r="I1899" i="1" a="1"/>
  <c r="I1899" i="1" s="1"/>
  <c r="F1901" i="1" a="1"/>
  <c r="F1901" i="1" s="1"/>
  <c r="K1900" i="1" a="1"/>
  <c r="K1900" i="1" s="1"/>
  <c r="H1899" i="1" a="1"/>
  <c r="H1899" i="1" s="1"/>
  <c r="I1900" i="1" a="1"/>
  <c r="I1900" i="1"/>
  <c r="J1899" i="1" a="1"/>
  <c r="J1899" i="1"/>
  <c r="K1899" i="1" a="1"/>
  <c r="K1899" i="1" s="1"/>
  <c r="G1899" i="1" a="1"/>
  <c r="G1899" i="1" s="1"/>
  <c r="I1663" i="1" a="1"/>
  <c r="I1663" i="1" s="1"/>
  <c r="H1671" i="1" a="1"/>
  <c r="H1671" i="1" s="1"/>
  <c r="K1670" i="1" a="1"/>
  <c r="K1670" i="1" s="1"/>
  <c r="G1663" i="1" a="1"/>
  <c r="G1663" i="1" s="1"/>
  <c r="F1670" i="1" a="1"/>
  <c r="F1670" i="1" s="1"/>
  <c r="F1669" i="1" a="1"/>
  <c r="F1669" i="1" s="1"/>
  <c r="K1665" i="1" a="1"/>
  <c r="K1665" i="1" s="1"/>
  <c r="J1666" i="1" a="1"/>
  <c r="J1666" i="1"/>
  <c r="K1671" i="1" a="1"/>
  <c r="K1671" i="1" s="1"/>
  <c r="J1671" i="1" a="1"/>
  <c r="J1671" i="1" s="1"/>
  <c r="I1667" i="1" a="1"/>
  <c r="I1667" i="1" s="1"/>
  <c r="J1663" i="1" a="1"/>
  <c r="J1663" i="1" s="1"/>
  <c r="H1664" i="1" a="1"/>
  <c r="H1664" i="1" s="1"/>
  <c r="G1664" i="1" a="1"/>
  <c r="G1664" i="1" s="1"/>
  <c r="I1671" i="1" a="1"/>
  <c r="I1671" i="1" s="1"/>
  <c r="J1670" i="1" a="1"/>
  <c r="J1670" i="1" s="1"/>
  <c r="J1669" i="1" a="1"/>
  <c r="J1669" i="1" s="1"/>
  <c r="K1666" i="1" a="1"/>
  <c r="K1666" i="1"/>
  <c r="H1668" i="1" a="1"/>
  <c r="H1668" i="1" s="1"/>
  <c r="I1668" i="1" a="1"/>
  <c r="I1668" i="1" s="1"/>
  <c r="H1667" i="1" a="1"/>
  <c r="H1667" i="1" s="1"/>
  <c r="K1662" i="1" a="1"/>
  <c r="K1662" i="1" s="1"/>
  <c r="G1671" i="1" a="1"/>
  <c r="G1671" i="1" s="1"/>
  <c r="F1671" i="1" a="1"/>
  <c r="F1671" i="1" s="1"/>
  <c r="F1664" i="1" a="1"/>
  <c r="F1664" i="1" s="1"/>
  <c r="I1670" i="1" a="1"/>
  <c r="I1670" i="1" s="1"/>
  <c r="J1665" i="1" a="1"/>
  <c r="J1665" i="1" s="1"/>
  <c r="H1670" i="1" a="1"/>
  <c r="H1670" i="1" s="1"/>
  <c r="F1665" i="1" a="1"/>
  <c r="F1665" i="1"/>
  <c r="K1669" i="1" a="1"/>
  <c r="K1669" i="1" s="1"/>
  <c r="G1662" i="1" a="1"/>
  <c r="G1662" i="1" s="1"/>
  <c r="G1669" i="1" a="1"/>
  <c r="G1669" i="1" s="1"/>
  <c r="G1666" i="1" a="1"/>
  <c r="G1666" i="1" s="1"/>
  <c r="I1669" i="1" a="1"/>
  <c r="I1669" i="1" s="1"/>
  <c r="J1667" i="1" a="1"/>
  <c r="J1667" i="1" s="1"/>
  <c r="K1668" i="1" a="1"/>
  <c r="K1668" i="1" s="1"/>
  <c r="J1668" i="1" a="1"/>
  <c r="J1668" i="1"/>
  <c r="F1663" i="1" a="1"/>
  <c r="F1663" i="1"/>
  <c r="G1668" i="1" a="1"/>
  <c r="G1668" i="1"/>
  <c r="K1664" i="1" a="1"/>
  <c r="K1664" i="1" s="1"/>
  <c r="H1662" i="1" a="1"/>
  <c r="H1662" i="1" s="1"/>
  <c r="F1667" i="1" a="1"/>
  <c r="F1667" i="1" s="1"/>
  <c r="F1666" i="1" a="1"/>
  <c r="F1666" i="1" s="1"/>
  <c r="H1665" i="1" a="1"/>
  <c r="H1665" i="1" s="1"/>
  <c r="K1667" i="1" a="1"/>
  <c r="K1667" i="1" s="1"/>
  <c r="G1670" i="1" a="1"/>
  <c r="G1670" i="1" s="1"/>
  <c r="H1669" i="1" a="1"/>
  <c r="H1669" i="1" s="1"/>
  <c r="G1667" i="1" a="1"/>
  <c r="G1667" i="1"/>
  <c r="I1666" i="1" a="1"/>
  <c r="I1666" i="1" s="1"/>
  <c r="I1665" i="1" a="1"/>
  <c r="I1665" i="1" s="1"/>
  <c r="I1664" i="1" a="1"/>
  <c r="I1664" i="1" s="1"/>
  <c r="H1666" i="1" a="1"/>
  <c r="H1666" i="1" s="1"/>
  <c r="J1662" i="1" a="1"/>
  <c r="J1662" i="1" s="1"/>
  <c r="K1663" i="1" a="1"/>
  <c r="K1663" i="1" s="1"/>
  <c r="G1665" i="1" a="1"/>
  <c r="G1665" i="1" s="1"/>
  <c r="H1663" i="1" a="1"/>
  <c r="H1663" i="1" s="1"/>
  <c r="F1662" i="1" a="1"/>
  <c r="F1662" i="1"/>
  <c r="F1668" i="1" a="1"/>
  <c r="F1668" i="1"/>
  <c r="I1662" i="1" a="1"/>
  <c r="I1662" i="1"/>
  <c r="J1664" i="1" a="1"/>
  <c r="J1664" i="1" s="1"/>
  <c r="F1660" i="1" a="1"/>
  <c r="F1660" i="1" s="1"/>
  <c r="I1659" i="1" a="1"/>
  <c r="I1659" i="1" s="1"/>
  <c r="F1659" i="1" a="1"/>
  <c r="F1659" i="1" s="1"/>
  <c r="J1658" i="1" a="1"/>
  <c r="J1658" i="1" s="1"/>
  <c r="H1658" i="1" a="1"/>
  <c r="H1658" i="1" s="1"/>
  <c r="G1658" i="1" a="1"/>
  <c r="G1658" i="1" s="1"/>
  <c r="I1646" i="1" a="1"/>
  <c r="I1646" i="1" s="1"/>
  <c r="G1645" i="1" a="1"/>
  <c r="G1645" i="1" s="1"/>
  <c r="J1652" i="1" a="1"/>
  <c r="J1652" i="1" s="1"/>
  <c r="K1646" i="1" a="1"/>
  <c r="K1646" i="1"/>
  <c r="G1646" i="1" a="1"/>
  <c r="G1646" i="1" s="1"/>
  <c r="I1644" i="1" a="1"/>
  <c r="I1644" i="1"/>
  <c r="G1652" i="1" a="1"/>
  <c r="G1652" i="1" s="1"/>
  <c r="F1652" i="1" a="1"/>
  <c r="F1652" i="1" s="1"/>
  <c r="J1646" i="1" a="1"/>
  <c r="J1646" i="1" s="1"/>
  <c r="H1645" i="1" a="1"/>
  <c r="H1645" i="1" s="1"/>
  <c r="F1646" i="1" a="1"/>
  <c r="F1646" i="1" s="1"/>
  <c r="K1644" i="1" a="1"/>
  <c r="K1644" i="1"/>
  <c r="H1646" i="1" a="1"/>
  <c r="H1646" i="1" s="1"/>
  <c r="J1645" i="1" a="1"/>
  <c r="J1645" i="1"/>
  <c r="F1645" i="1" a="1"/>
  <c r="F1645" i="1"/>
  <c r="H1644" i="1" a="1"/>
  <c r="H1644" i="1" s="1"/>
  <c r="J1644" i="1" a="1"/>
  <c r="J1644" i="1" s="1"/>
  <c r="J1659" i="1" a="1"/>
  <c r="J1659" i="1" s="1"/>
  <c r="G1660" i="1" a="1"/>
  <c r="G1660" i="1" s="1"/>
  <c r="K1658" i="1" a="1"/>
  <c r="K1658" i="1" s="1"/>
  <c r="K1659" i="1" a="1"/>
  <c r="K1659" i="1" s="1"/>
  <c r="I1652" i="1" a="1"/>
  <c r="I1652" i="1"/>
  <c r="G1659" i="1" a="1"/>
  <c r="G1659" i="1" s="1"/>
  <c r="K1660" i="1" a="1"/>
  <c r="K1660" i="1" s="1"/>
  <c r="F1658" i="1" a="1"/>
  <c r="F1658" i="1" s="1"/>
  <c r="I1660" i="1" a="1"/>
  <c r="I1660" i="1"/>
  <c r="I1645" i="1" a="1"/>
  <c r="I1645" i="1" s="1"/>
  <c r="I1658" i="1" a="1"/>
  <c r="I1658" i="1"/>
  <c r="H1652" i="1" a="1"/>
  <c r="H1652" i="1" s="1"/>
  <c r="H1659" i="1" a="1"/>
  <c r="H1659" i="1"/>
  <c r="F1644" i="1" a="1"/>
  <c r="F1644" i="1" s="1"/>
  <c r="G1644" i="1" a="1"/>
  <c r="G1644" i="1" s="1"/>
  <c r="K1645" i="1" a="1"/>
  <c r="K1645" i="1"/>
  <c r="J1660" i="1" a="1"/>
  <c r="J1660" i="1" s="1"/>
  <c r="H1660" i="1" a="1"/>
  <c r="H1660" i="1"/>
  <c r="K1652" i="1" a="1"/>
  <c r="K1652" i="1"/>
  <c r="K1627" i="1" a="1"/>
  <c r="K1627" i="1" s="1"/>
  <c r="H1623" i="1" a="1"/>
  <c r="H1623" i="1" s="1"/>
  <c r="I1641" i="1" a="1"/>
  <c r="I1641" i="1" s="1"/>
  <c r="F1627" i="1" a="1"/>
  <c r="F1627" i="1" s="1"/>
  <c r="G1626" i="1" a="1"/>
  <c r="G1626" i="1" s="1"/>
  <c r="I1625" i="1" a="1"/>
  <c r="I1625" i="1" s="1"/>
  <c r="K1622" i="1" a="1"/>
  <c r="K1622" i="1"/>
  <c r="H1640" i="1" a="1"/>
  <c r="H1640" i="1" s="1"/>
  <c r="K1624" i="1" a="1"/>
  <c r="K1624" i="1" s="1"/>
  <c r="I1623" i="1" a="1"/>
  <c r="I1623" i="1" s="1"/>
  <c r="H1626" i="1" a="1"/>
  <c r="H1626" i="1"/>
  <c r="K1626" i="1" a="1"/>
  <c r="K1626" i="1" s="1"/>
  <c r="I1627" i="1" a="1"/>
  <c r="I1627" i="1"/>
  <c r="G1623" i="1" a="1"/>
  <c r="G1623" i="1" s="1"/>
  <c r="G1627" i="1" a="1"/>
  <c r="G1627" i="1" s="1"/>
  <c r="K1625" i="1" a="1"/>
  <c r="K1625" i="1" s="1"/>
  <c r="G1624" i="1" a="1"/>
  <c r="G1624" i="1" s="1"/>
  <c r="F1623" i="1" a="1"/>
  <c r="F1623" i="1"/>
  <c r="K1642" i="1" a="1"/>
  <c r="K1642" i="1" s="1"/>
  <c r="K1640" i="1" a="1"/>
  <c r="K1640" i="1"/>
  <c r="J1642" i="1" a="1"/>
  <c r="J1642" i="1"/>
  <c r="I1640" i="1" a="1"/>
  <c r="I1640" i="1" s="1"/>
  <c r="J1627" i="1" a="1"/>
  <c r="J1627" i="1" s="1"/>
  <c r="G1642" i="1" a="1"/>
  <c r="G1642" i="1" s="1"/>
  <c r="F1626" i="1" a="1"/>
  <c r="F1626" i="1" s="1"/>
  <c r="H1641" i="1" a="1"/>
  <c r="H1641" i="1"/>
  <c r="I1626" i="1" a="1"/>
  <c r="I1626" i="1" s="1"/>
  <c r="F1625" i="1" a="1"/>
  <c r="F1625" i="1"/>
  <c r="K1623" i="1" a="1"/>
  <c r="K1623" i="1" s="1"/>
  <c r="H1627" i="1" a="1"/>
  <c r="H1627" i="1" s="1"/>
  <c r="J1625" i="1" a="1"/>
  <c r="J1625" i="1" s="1"/>
  <c r="F1624" i="1" a="1"/>
  <c r="F1624" i="1"/>
  <c r="G1640" i="1" a="1"/>
  <c r="G1640" i="1" s="1"/>
  <c r="I1642" i="1" a="1"/>
  <c r="I1642" i="1"/>
  <c r="G1625" i="1" a="1"/>
  <c r="G1625" i="1" s="1"/>
  <c r="J1626" i="1" a="1"/>
  <c r="J1626" i="1" s="1"/>
  <c r="H1642" i="1" a="1"/>
  <c r="H1642" i="1" s="1"/>
  <c r="F1642" i="1" a="1"/>
  <c r="F1642" i="1" s="1"/>
  <c r="J1623" i="1" a="1"/>
  <c r="J1623" i="1"/>
  <c r="K1641" i="1" a="1"/>
  <c r="K1641" i="1" s="1"/>
  <c r="J1641" i="1" a="1"/>
  <c r="J1641" i="1"/>
  <c r="G1641" i="1" a="1"/>
  <c r="G1641" i="1"/>
  <c r="F1641" i="1" a="1"/>
  <c r="F1641" i="1" s="1"/>
  <c r="J1640" i="1" a="1"/>
  <c r="J1640" i="1" s="1"/>
  <c r="H1624" i="1" a="1"/>
  <c r="H1624" i="1" s="1"/>
  <c r="H1625" i="1" a="1"/>
  <c r="H1625" i="1" s="1"/>
  <c r="J1624" i="1" a="1"/>
  <c r="J1624" i="1"/>
  <c r="I1624" i="1" a="1"/>
  <c r="I1624" i="1" s="1"/>
  <c r="F1640" i="1" a="1"/>
  <c r="F1640" i="1"/>
  <c r="I1611" i="1" a="1"/>
  <c r="I1611" i="1" s="1"/>
  <c r="I1609" i="1" a="1"/>
  <c r="I1609" i="1" s="1"/>
  <c r="J1610" i="1" a="1"/>
  <c r="J1610" i="1" s="1"/>
  <c r="J1620" i="1" a="1"/>
  <c r="J1620" i="1"/>
  <c r="I1619" i="1" a="1"/>
  <c r="I1619" i="1" s="1"/>
  <c r="J1617" i="1" a="1"/>
  <c r="J1617" i="1" s="1"/>
  <c r="H1611" i="1" a="1"/>
  <c r="H1611" i="1" s="1"/>
  <c r="F1609" i="1" a="1"/>
  <c r="F1609" i="1" s="1"/>
  <c r="G1611" i="1" a="1"/>
  <c r="G1611" i="1" s="1"/>
  <c r="I1610" i="1" a="1"/>
  <c r="I1610" i="1" s="1"/>
  <c r="K1609" i="1" a="1"/>
  <c r="K1609" i="1"/>
  <c r="I1620" i="1" a="1"/>
  <c r="I1620" i="1" s="1"/>
  <c r="H1620" i="1" a="1"/>
  <c r="H1620" i="1"/>
  <c r="F1620" i="1" a="1"/>
  <c r="F1620" i="1"/>
  <c r="J1619" i="1" a="1"/>
  <c r="J1619" i="1" s="1"/>
  <c r="F1617" i="1" a="1"/>
  <c r="F1617" i="1" s="1"/>
  <c r="J1609" i="1" a="1"/>
  <c r="J1609" i="1"/>
  <c r="G1617" i="1" a="1"/>
  <c r="G1617" i="1" s="1"/>
  <c r="K1610" i="1" a="1"/>
  <c r="K1610" i="1"/>
  <c r="H1619" i="1" a="1"/>
  <c r="H1619" i="1" s="1"/>
  <c r="G1619" i="1" a="1"/>
  <c r="G1619" i="1"/>
  <c r="G1610" i="1" a="1"/>
  <c r="G1610" i="1" s="1"/>
  <c r="I1622" i="1" a="1"/>
  <c r="I1622" i="1" s="1"/>
  <c r="F1622" i="1" a="1"/>
  <c r="F1622" i="1" s="1"/>
  <c r="K1621" i="1" a="1"/>
  <c r="K1621" i="1"/>
  <c r="F1611" i="1" a="1"/>
  <c r="F1611" i="1" s="1"/>
  <c r="H1610" i="1" a="1"/>
  <c r="H1610" i="1" s="1"/>
  <c r="F1621" i="1" a="1"/>
  <c r="F1621" i="1" s="1"/>
  <c r="G1620" i="1" a="1"/>
  <c r="G1620" i="1" s="1"/>
  <c r="K1619" i="1" a="1"/>
  <c r="K1619" i="1" s="1"/>
  <c r="F1610" i="1" a="1"/>
  <c r="F1610" i="1" s="1"/>
  <c r="J1611" i="1" a="1"/>
  <c r="J1611" i="1"/>
  <c r="H1609" i="1" a="1"/>
  <c r="H1609" i="1" s="1"/>
  <c r="K1611" i="1" a="1"/>
  <c r="K1611" i="1"/>
  <c r="J1622" i="1" a="1"/>
  <c r="J1622" i="1"/>
  <c r="H1622" i="1" a="1"/>
  <c r="H1622" i="1" s="1"/>
  <c r="G1622" i="1" a="1"/>
  <c r="G1622" i="1" s="1"/>
  <c r="H1621" i="1" a="1"/>
  <c r="H1621" i="1"/>
  <c r="J1621" i="1" a="1"/>
  <c r="J1621" i="1" s="1"/>
  <c r="G1609" i="1" a="1"/>
  <c r="G1609" i="1"/>
  <c r="I1621" i="1" a="1"/>
  <c r="I1621" i="1" s="1"/>
  <c r="K1617" i="1" a="1"/>
  <c r="K1617" i="1"/>
  <c r="G1621" i="1" a="1"/>
  <c r="G1621" i="1" s="1"/>
  <c r="K1620" i="1" a="1"/>
  <c r="K1620" i="1" s="1"/>
  <c r="H1617" i="1" a="1"/>
  <c r="H1617" i="1" s="1"/>
  <c r="F1619" i="1" a="1"/>
  <c r="F1619" i="1" s="1"/>
  <c r="I1617" i="1" a="1"/>
  <c r="I1617" i="1" s="1"/>
  <c r="F1596" i="1" a="1"/>
  <c r="F1596" i="1" s="1"/>
  <c r="K1596" i="1" a="1"/>
  <c r="K1596" i="1" s="1"/>
  <c r="G1593" i="1" a="1"/>
  <c r="G1593" i="1" s="1"/>
  <c r="J1596" i="1" a="1"/>
  <c r="J1596" i="1" s="1"/>
  <c r="F1602" i="1" a="1"/>
  <c r="F1602" i="1" s="1"/>
  <c r="I1596" i="1" a="1"/>
  <c r="I1596" i="1"/>
  <c r="H1593" i="1" a="1"/>
  <c r="H1593" i="1" s="1"/>
  <c r="G1596" i="1" a="1"/>
  <c r="G1596" i="1"/>
  <c r="F1593" i="1" a="1"/>
  <c r="F1593" i="1" s="1"/>
  <c r="J1594" i="1" a="1"/>
  <c r="J1594" i="1"/>
  <c r="J1603" i="1" a="1"/>
  <c r="J1603" i="1" s="1"/>
  <c r="H1602" i="1" a="1"/>
  <c r="H1602" i="1"/>
  <c r="I1594" i="1" a="1"/>
  <c r="I1594" i="1" s="1"/>
  <c r="G1594" i="1" a="1"/>
  <c r="G1594" i="1"/>
  <c r="F1594" i="1" a="1"/>
  <c r="F1594" i="1" s="1"/>
  <c r="I1602" i="1" a="1"/>
  <c r="I1602" i="1"/>
  <c r="K1593" i="1" a="1"/>
  <c r="K1593" i="1" s="1"/>
  <c r="K1602" i="1" a="1"/>
  <c r="K1602" i="1" s="1"/>
  <c r="H1594" i="1" a="1"/>
  <c r="H1594" i="1" s="1"/>
  <c r="G1602" i="1" a="1"/>
  <c r="G1602" i="1"/>
  <c r="I1603" i="1" a="1"/>
  <c r="I1603" i="1" s="1"/>
  <c r="J1593" i="1" a="1"/>
  <c r="J1593" i="1" s="1"/>
  <c r="K1603" i="1" a="1"/>
  <c r="K1603" i="1" s="1"/>
  <c r="H1603" i="1" a="1"/>
  <c r="H1603" i="1" s="1"/>
  <c r="J1602" i="1" a="1"/>
  <c r="J1602" i="1" s="1"/>
  <c r="H1596" i="1" a="1"/>
  <c r="H1596" i="1" s="1"/>
  <c r="G1603" i="1" a="1"/>
  <c r="G1603" i="1"/>
  <c r="K1594" i="1" a="1"/>
  <c r="K1594" i="1" s="1"/>
  <c r="I1593" i="1" a="1"/>
  <c r="I1593" i="1" s="1"/>
  <c r="F1603" i="1" a="1"/>
  <c r="F1603" i="1" s="1"/>
  <c r="F1576" i="1" a="1"/>
  <c r="F1576" i="1"/>
  <c r="G1579" i="1" a="1"/>
  <c r="G1579" i="1" s="1"/>
  <c r="J1575" i="1" a="1"/>
  <c r="J1575" i="1"/>
  <c r="K1580" i="1" a="1"/>
  <c r="K1580" i="1" s="1"/>
  <c r="G1578" i="1" a="1"/>
  <c r="G1578" i="1"/>
  <c r="J1576" i="1" a="1"/>
  <c r="J1576" i="1" s="1"/>
  <c r="J1577" i="1" a="1"/>
  <c r="J1577" i="1"/>
  <c r="H1579" i="1" a="1"/>
  <c r="H1579" i="1" s="1"/>
  <c r="F1575" i="1" a="1"/>
  <c r="F1575" i="1" s="1"/>
  <c r="G1573" i="1" a="1"/>
  <c r="G1573" i="1"/>
  <c r="H1580" i="1" a="1"/>
  <c r="H1580" i="1"/>
  <c r="F1578" i="1" a="1"/>
  <c r="F1578" i="1" s="1"/>
  <c r="K1579" i="1" a="1"/>
  <c r="K1579" i="1" s="1"/>
  <c r="I1579" i="1" a="1"/>
  <c r="I1579" i="1" s="1"/>
  <c r="I1575" i="1" a="1"/>
  <c r="I1575" i="1" s="1"/>
  <c r="J1578" i="1" a="1"/>
  <c r="J1578" i="1" s="1"/>
  <c r="K1575" i="1" a="1"/>
  <c r="K1575" i="1" s="1"/>
  <c r="H1578" i="1" a="1"/>
  <c r="H1578" i="1"/>
  <c r="K1573" i="1" a="1"/>
  <c r="K1573" i="1" s="1"/>
  <c r="F1577" i="1" a="1"/>
  <c r="F1577" i="1" s="1"/>
  <c r="K1576" i="1" a="1"/>
  <c r="K1576" i="1" s="1"/>
  <c r="I1574" i="1" a="1"/>
  <c r="I1574" i="1"/>
  <c r="H1574" i="1" a="1"/>
  <c r="H1574" i="1" s="1"/>
  <c r="H1576" i="1" a="1"/>
  <c r="H1576" i="1"/>
  <c r="K1574" i="1" a="1"/>
  <c r="K1574" i="1" s="1"/>
  <c r="H1573" i="1" a="1"/>
  <c r="H1573" i="1"/>
  <c r="I1578" i="1" a="1"/>
  <c r="I1578" i="1" s="1"/>
  <c r="H1577" i="1" a="1"/>
  <c r="H1577" i="1"/>
  <c r="G1574" i="1" a="1"/>
  <c r="G1574" i="1" s="1"/>
  <c r="F1573" i="1" a="1"/>
  <c r="F1573" i="1" s="1"/>
  <c r="J1572" i="1" a="1"/>
  <c r="J1572" i="1"/>
  <c r="I1577" i="1" a="1"/>
  <c r="I1577" i="1"/>
  <c r="H1575" i="1" a="1"/>
  <c r="H1575" i="1" s="1"/>
  <c r="J1574" i="1" a="1"/>
  <c r="J1574" i="1" s="1"/>
  <c r="K1572" i="1" a="1"/>
  <c r="K1572" i="1" s="1"/>
  <c r="I1576" i="1" a="1"/>
  <c r="I1576" i="1" s="1"/>
  <c r="G1580" i="1" a="1"/>
  <c r="G1580" i="1" s="1"/>
  <c r="J1580" i="1" a="1"/>
  <c r="J1580" i="1" s="1"/>
  <c r="K1577" i="1" a="1"/>
  <c r="K1577" i="1" s="1"/>
  <c r="I1580" i="1" a="1"/>
  <c r="I1580" i="1" s="1"/>
  <c r="F1580" i="1" a="1"/>
  <c r="F1580" i="1" s="1"/>
  <c r="F1574" i="1" a="1"/>
  <c r="F1574" i="1" s="1"/>
  <c r="K1578" i="1" a="1"/>
  <c r="K1578" i="1"/>
  <c r="G1577" i="1" a="1"/>
  <c r="G1577" i="1" s="1"/>
  <c r="J1573" i="1" a="1"/>
  <c r="J1573" i="1"/>
  <c r="I1573" i="1" a="1"/>
  <c r="I1573" i="1" s="1"/>
  <c r="F1579" i="1" a="1"/>
  <c r="F1579" i="1"/>
  <c r="J1579" i="1" a="1"/>
  <c r="J1579" i="1" s="1"/>
  <c r="G1576" i="1" a="1"/>
  <c r="G1576" i="1" s="1"/>
  <c r="G1575" i="1" a="1"/>
  <c r="G1575" i="1"/>
  <c r="J1556" i="1" a="1"/>
  <c r="J1556" i="1" s="1"/>
  <c r="F1555" i="1" a="1"/>
  <c r="F1555" i="1"/>
  <c r="J1555" i="1" a="1"/>
  <c r="J1555" i="1"/>
  <c r="I1572" i="1" a="1"/>
  <c r="I1572" i="1" s="1"/>
  <c r="F1572" i="1" a="1"/>
  <c r="F1572" i="1" s="1"/>
  <c r="G1570" i="1" a="1"/>
  <c r="G1570" i="1" s="1"/>
  <c r="J1563" i="1" a="1"/>
  <c r="J1563" i="1" s="1"/>
  <c r="G1555" i="1" a="1"/>
  <c r="G1555" i="1" s="1"/>
  <c r="I1562" i="1" a="1"/>
  <c r="I1562" i="1" s="1"/>
  <c r="K1570" i="1" a="1"/>
  <c r="K1570" i="1"/>
  <c r="H1570" i="1" a="1"/>
  <c r="H1570" i="1" s="1"/>
  <c r="K1564" i="1" a="1"/>
  <c r="K1564" i="1" s="1"/>
  <c r="G1562" i="1" a="1"/>
  <c r="G1562" i="1" s="1"/>
  <c r="J1564" i="1" a="1"/>
  <c r="J1564" i="1"/>
  <c r="F1562" i="1" a="1"/>
  <c r="F1562" i="1" s="1"/>
  <c r="K1556" i="1" a="1"/>
  <c r="K1556" i="1"/>
  <c r="F1556" i="1" a="1"/>
  <c r="F1556" i="1" s="1"/>
  <c r="H1556" i="1" a="1"/>
  <c r="H1556" i="1"/>
  <c r="F1563" i="1" a="1"/>
  <c r="F1563" i="1" s="1"/>
  <c r="I1564" i="1" a="1"/>
  <c r="I1564" i="1" s="1"/>
  <c r="I1555" i="1" a="1"/>
  <c r="I1555" i="1"/>
  <c r="F1564" i="1" a="1"/>
  <c r="F1564" i="1" s="1"/>
  <c r="H1562" i="1" a="1"/>
  <c r="H1562" i="1"/>
  <c r="G1556" i="1" a="1"/>
  <c r="G1556" i="1"/>
  <c r="H1563" i="1" a="1"/>
  <c r="H1563" i="1" s="1"/>
  <c r="K1562" i="1" a="1"/>
  <c r="K1562" i="1" s="1"/>
  <c r="K1555" i="1" a="1"/>
  <c r="K1555" i="1" s="1"/>
  <c r="F1570" i="1" a="1"/>
  <c r="F1570" i="1" s="1"/>
  <c r="H1564" i="1" a="1"/>
  <c r="H1564" i="1" s="1"/>
  <c r="H1555" i="1" a="1"/>
  <c r="H1555" i="1" s="1"/>
  <c r="I1563" i="1" a="1"/>
  <c r="I1563" i="1"/>
  <c r="G1572" i="1" a="1"/>
  <c r="G1572" i="1" s="1"/>
  <c r="J1562" i="1" a="1"/>
  <c r="J1562" i="1" s="1"/>
  <c r="H1572" i="1" a="1"/>
  <c r="H1572" i="1" s="1"/>
  <c r="J1570" i="1" a="1"/>
  <c r="J1570" i="1"/>
  <c r="G1563" i="1" a="1"/>
  <c r="G1563" i="1" s="1"/>
  <c r="K1563" i="1" a="1"/>
  <c r="K1563" i="1"/>
  <c r="I1570" i="1" a="1"/>
  <c r="I1570" i="1" s="1"/>
  <c r="I1556" i="1" a="1"/>
  <c r="I1556" i="1" s="1"/>
  <c r="G1564" i="1" a="1"/>
  <c r="G1564" i="1" s="1"/>
  <c r="J1518" i="1" a="1"/>
  <c r="J1518" i="1" s="1"/>
  <c r="H1518" i="1" a="1"/>
  <c r="H1518" i="1"/>
  <c r="K1514" i="1" a="1"/>
  <c r="K1514" i="1" s="1"/>
  <c r="J1514" i="1" a="1"/>
  <c r="J1514" i="1"/>
  <c r="F1521" i="1" a="1"/>
  <c r="F1521" i="1"/>
  <c r="F1524" i="1" a="1"/>
  <c r="F1524" i="1" s="1"/>
  <c r="G1523" i="1" a="1"/>
  <c r="G1523" i="1" s="1"/>
  <c r="F1523" i="1" a="1"/>
  <c r="F1523" i="1" s="1"/>
  <c r="K1521" i="1" a="1"/>
  <c r="K1521" i="1" s="1"/>
  <c r="J1524" i="1" a="1"/>
  <c r="J1524" i="1"/>
  <c r="I1524" i="1" a="1"/>
  <c r="I1524" i="1" s="1"/>
  <c r="H1522" i="1" a="1"/>
  <c r="H1522" i="1"/>
  <c r="I1518" i="1" a="1"/>
  <c r="I1518" i="1" s="1"/>
  <c r="J1522" i="1" a="1"/>
  <c r="J1522" i="1" s="1"/>
  <c r="H1524" i="1" a="1"/>
  <c r="H1524" i="1" s="1"/>
  <c r="H1523" i="1" a="1"/>
  <c r="H1523" i="1"/>
  <c r="G1521" i="1" a="1"/>
  <c r="G1521" i="1" s="1"/>
  <c r="H1517" i="1" a="1"/>
  <c r="H1517" i="1"/>
  <c r="K1519" i="1" a="1"/>
  <c r="K1519" i="1" s="1"/>
  <c r="K1522" i="1" a="1"/>
  <c r="K1522" i="1" s="1"/>
  <c r="I1520" i="1" a="1"/>
  <c r="I1520" i="1" s="1"/>
  <c r="G1522" i="1" a="1"/>
  <c r="G1522" i="1" s="1"/>
  <c r="I1521" i="1" a="1"/>
  <c r="I1521" i="1"/>
  <c r="J1515" i="1" a="1"/>
  <c r="J1515" i="1" s="1"/>
  <c r="G1524" i="1" a="1"/>
  <c r="G1524" i="1"/>
  <c r="K1523" i="1" a="1"/>
  <c r="K1523" i="1"/>
  <c r="J1521" i="1" a="1"/>
  <c r="J1521" i="1" s="1"/>
  <c r="J1519" i="1" a="1"/>
  <c r="J1519" i="1" s="1"/>
  <c r="J1517" i="1" a="1"/>
  <c r="J1517" i="1" s="1"/>
  <c r="I1517" i="1" a="1"/>
  <c r="I1517" i="1" s="1"/>
  <c r="F1515" i="1" a="1"/>
  <c r="F1515" i="1"/>
  <c r="G1517" i="1" a="1"/>
  <c r="G1517" i="1" s="1"/>
  <c r="G1515" i="1" a="1"/>
  <c r="G1515" i="1"/>
  <c r="F1517" i="1" a="1"/>
  <c r="F1517" i="1" s="1"/>
  <c r="J1523" i="1" a="1"/>
  <c r="J1523" i="1" s="1"/>
  <c r="I1523" i="1" a="1"/>
  <c r="I1523" i="1" s="1"/>
  <c r="I1522" i="1" a="1"/>
  <c r="I1522" i="1"/>
  <c r="K1518" i="1" a="1"/>
  <c r="K1518" i="1" s="1"/>
  <c r="F1522" i="1" a="1"/>
  <c r="F1522" i="1" s="1"/>
  <c r="F1519" i="1" a="1"/>
  <c r="F1519" i="1" s="1"/>
  <c r="H1521" i="1" a="1"/>
  <c r="H1521" i="1" s="1"/>
  <c r="K1520" i="1" a="1"/>
  <c r="K1520" i="1" s="1"/>
  <c r="K1515" i="1" a="1"/>
  <c r="K1515" i="1" s="1"/>
  <c r="J1520" i="1" a="1"/>
  <c r="J1520" i="1"/>
  <c r="H1520" i="1" a="1"/>
  <c r="H1520" i="1" s="1"/>
  <c r="G1520" i="1" a="1"/>
  <c r="G1520" i="1"/>
  <c r="F1520" i="1" a="1"/>
  <c r="F1520" i="1"/>
  <c r="I1519" i="1" a="1"/>
  <c r="I1519" i="1" s="1"/>
  <c r="F1518" i="1" a="1"/>
  <c r="F1518" i="1" s="1"/>
  <c r="K1517" i="1" a="1"/>
  <c r="K1517" i="1"/>
  <c r="I1515" i="1" a="1"/>
  <c r="I1515" i="1" s="1"/>
  <c r="H1515" i="1" a="1"/>
  <c r="H1515" i="1"/>
  <c r="G1518" i="1" a="1"/>
  <c r="G1518" i="1" s="1"/>
  <c r="G1519" i="1" a="1"/>
  <c r="G1519" i="1"/>
  <c r="H1519" i="1" a="1"/>
  <c r="H1519" i="1" s="1"/>
  <c r="F1511" i="1" a="1"/>
  <c r="F1511" i="1" s="1"/>
  <c r="I1502" i="1" a="1"/>
  <c r="I1502" i="1" s="1"/>
  <c r="K1511" i="1" a="1"/>
  <c r="K1511" i="1"/>
  <c r="G1511" i="1" a="1"/>
  <c r="G1511" i="1" s="1"/>
  <c r="G1502" i="1" a="1"/>
  <c r="G1502" i="1" s="1"/>
  <c r="G1514" i="1" a="1"/>
  <c r="G1514" i="1" s="1"/>
  <c r="I1513" i="1" a="1"/>
  <c r="I1513" i="1" s="1"/>
  <c r="I1503" i="1" a="1"/>
  <c r="I1503" i="1" s="1"/>
  <c r="F1502" i="1" a="1"/>
  <c r="F1502" i="1" s="1"/>
  <c r="J1505" i="1" a="1"/>
  <c r="J1505" i="1"/>
  <c r="I1504" i="1" a="1"/>
  <c r="I1504" i="1" s="1"/>
  <c r="G1503" i="1" a="1"/>
  <c r="G1503" i="1"/>
  <c r="I1514" i="1" a="1"/>
  <c r="I1514" i="1"/>
  <c r="J1513" i="1" a="1"/>
  <c r="J1513" i="1" s="1"/>
  <c r="H1513" i="1" a="1"/>
  <c r="H1513" i="1" s="1"/>
  <c r="I1512" i="1" a="1"/>
  <c r="I1512" i="1"/>
  <c r="J1511" i="1" a="1"/>
  <c r="J1511" i="1" s="1"/>
  <c r="H1505" i="1" a="1"/>
  <c r="H1505" i="1"/>
  <c r="K1502" i="1" a="1"/>
  <c r="K1502" i="1" s="1"/>
  <c r="H1502" i="1" a="1"/>
  <c r="H1502" i="1"/>
  <c r="K1504" i="1" a="1"/>
  <c r="K1504" i="1" s="1"/>
  <c r="F1504" i="1" a="1"/>
  <c r="F1504" i="1" s="1"/>
  <c r="K1512" i="1" a="1"/>
  <c r="K1512" i="1" s="1"/>
  <c r="J1512" i="1" a="1"/>
  <c r="J1512" i="1" s="1"/>
  <c r="F1512" i="1" a="1"/>
  <c r="F1512" i="1" s="1"/>
  <c r="I1511" i="1" a="1"/>
  <c r="I1511" i="1" s="1"/>
  <c r="H1504" i="1" a="1"/>
  <c r="H1504" i="1" s="1"/>
  <c r="K1505" i="1" a="1"/>
  <c r="K1505" i="1" s="1"/>
  <c r="J1503" i="1" a="1"/>
  <c r="J1503" i="1" s="1"/>
  <c r="F1503" i="1" a="1"/>
  <c r="F1503" i="1" s="1"/>
  <c r="H1503" i="1" a="1"/>
  <c r="H1503" i="1"/>
  <c r="J1502" i="1" a="1"/>
  <c r="J1502" i="1" s="1"/>
  <c r="F1505" i="1" a="1"/>
  <c r="F1505" i="1"/>
  <c r="K1503" i="1" a="1"/>
  <c r="K1503" i="1" s="1"/>
  <c r="I1505" i="1" a="1"/>
  <c r="I1505" i="1"/>
  <c r="J1504" i="1" a="1"/>
  <c r="J1504" i="1" s="1"/>
  <c r="G1505" i="1" a="1"/>
  <c r="G1505" i="1"/>
  <c r="G1513" i="1" a="1"/>
  <c r="G1513" i="1" s="1"/>
  <c r="H1514" i="1" a="1"/>
  <c r="H1514" i="1"/>
  <c r="H1512" i="1" a="1"/>
  <c r="H1512" i="1" s="1"/>
  <c r="G1504" i="1" a="1"/>
  <c r="G1504" i="1"/>
  <c r="F1514" i="1" a="1"/>
  <c r="F1514" i="1" s="1"/>
  <c r="K1513" i="1" a="1"/>
  <c r="K1513" i="1" s="1"/>
  <c r="F1513" i="1" a="1"/>
  <c r="F1513" i="1" s="1"/>
  <c r="H1511" i="1" a="1"/>
  <c r="H1511" i="1"/>
  <c r="G1512" i="1" a="1"/>
  <c r="G1512" i="1" s="1"/>
  <c r="I1499" i="1" a="1"/>
  <c r="I1499" i="1" s="1"/>
  <c r="K1490" i="1" a="1"/>
  <c r="K1490" i="1" s="1"/>
  <c r="H1499" i="1" a="1"/>
  <c r="H1499" i="1" s="1"/>
  <c r="G1490" i="1" a="1"/>
  <c r="G1490" i="1" s="1"/>
  <c r="G1499" i="1" a="1"/>
  <c r="G1499" i="1" s="1"/>
  <c r="G1500" i="1" a="1"/>
  <c r="G1500" i="1"/>
  <c r="K1485" i="1" a="1"/>
  <c r="K1485" i="1" s="1"/>
  <c r="H1490" i="1" a="1"/>
  <c r="H1490" i="1" s="1"/>
  <c r="K1500" i="1" a="1"/>
  <c r="K1500" i="1" s="1"/>
  <c r="H1500" i="1" a="1"/>
  <c r="H1500" i="1"/>
  <c r="F1500" i="1" a="1"/>
  <c r="F1500" i="1" s="1"/>
  <c r="J1499" i="1" a="1"/>
  <c r="J1499" i="1"/>
  <c r="I1498" i="1" a="1"/>
  <c r="I1498" i="1" s="1"/>
  <c r="F1497" i="1" a="1"/>
  <c r="F1497" i="1"/>
  <c r="F1490" i="1" a="1"/>
  <c r="F1490" i="1" s="1"/>
  <c r="F1492" i="1" a="1"/>
  <c r="F1492" i="1"/>
  <c r="J1492" i="1" a="1"/>
  <c r="J1492" i="1" s="1"/>
  <c r="K1499" i="1" a="1"/>
  <c r="K1499" i="1" s="1"/>
  <c r="J1497" i="1" a="1"/>
  <c r="J1497" i="1"/>
  <c r="I1497" i="1" a="1"/>
  <c r="I1497" i="1"/>
  <c r="I1485" i="1" a="1"/>
  <c r="I1485" i="1" s="1"/>
  <c r="H1498" i="1" a="1"/>
  <c r="H1498" i="1" s="1"/>
  <c r="G1498" i="1" a="1"/>
  <c r="G1498" i="1" s="1"/>
  <c r="G1492" i="1" a="1"/>
  <c r="G1492" i="1" s="1"/>
  <c r="K1492" i="1" a="1"/>
  <c r="K1492" i="1" s="1"/>
  <c r="F1498" i="1" a="1"/>
  <c r="F1498" i="1" s="1"/>
  <c r="K1497" i="1" a="1"/>
  <c r="K1497" i="1"/>
  <c r="H1485" i="1" a="1"/>
  <c r="H1485" i="1" s="1"/>
  <c r="H1497" i="1" a="1"/>
  <c r="H1497" i="1" s="1"/>
  <c r="I1492" i="1" a="1"/>
  <c r="I1492" i="1" s="1"/>
  <c r="J1490" i="1" a="1"/>
  <c r="J1490" i="1"/>
  <c r="J1485" i="1" a="1"/>
  <c r="J1485" i="1" s="1"/>
  <c r="I1490" i="1" a="1"/>
  <c r="I1490" i="1"/>
  <c r="F1499" i="1" a="1"/>
  <c r="F1499" i="1" s="1"/>
  <c r="J1498" i="1" a="1"/>
  <c r="J1498" i="1"/>
  <c r="G1497" i="1" a="1"/>
  <c r="G1497" i="1" s="1"/>
  <c r="J1500" i="1" a="1"/>
  <c r="J1500" i="1"/>
  <c r="I1500" i="1" a="1"/>
  <c r="I1500" i="1" s="1"/>
  <c r="K1498" i="1" a="1"/>
  <c r="K1498" i="1" s="1"/>
  <c r="H1492" i="1" a="1"/>
  <c r="H1492" i="1"/>
  <c r="G1456" i="1" a="1"/>
  <c r="G1456" i="1"/>
  <c r="I1453" i="1" a="1"/>
  <c r="I1453" i="1" s="1"/>
  <c r="I1456" i="1" a="1"/>
  <c r="I1456" i="1" s="1"/>
  <c r="G1453" i="1" a="1"/>
  <c r="G1453" i="1" s="1"/>
  <c r="I1483" i="1" a="1"/>
  <c r="I1483" i="1" s="1"/>
  <c r="G1483" i="1" a="1"/>
  <c r="G1483" i="1" s="1"/>
  <c r="K1455" i="1" a="1"/>
  <c r="K1455" i="1" s="1"/>
  <c r="F1454" i="1" a="1"/>
  <c r="F1454" i="1" s="1"/>
  <c r="J1453" i="1" a="1"/>
  <c r="J1453" i="1" s="1"/>
  <c r="H1483" i="1" a="1"/>
  <c r="H1483" i="1" s="1"/>
  <c r="H1453" i="1" a="1"/>
  <c r="H1453" i="1" s="1"/>
  <c r="F1456" i="1" a="1"/>
  <c r="F1456" i="1"/>
  <c r="H1456" i="1" a="1"/>
  <c r="H1456" i="1" s="1"/>
  <c r="H1455" i="1" a="1"/>
  <c r="H1455" i="1"/>
  <c r="K1453" i="1" a="1"/>
  <c r="K1453" i="1" s="1"/>
  <c r="I1455" i="1" a="1"/>
  <c r="I1455" i="1"/>
  <c r="K1452" i="1" a="1"/>
  <c r="K1452" i="1" s="1"/>
  <c r="J1483" i="1" a="1"/>
  <c r="J1483" i="1" s="1"/>
  <c r="G1455" i="1" a="1"/>
  <c r="G1455" i="1"/>
  <c r="J1456" i="1" a="1"/>
  <c r="J1456" i="1" s="1"/>
  <c r="G1485" i="1" a="1"/>
  <c r="G1485" i="1"/>
  <c r="F1485" i="1" a="1"/>
  <c r="F1485" i="1"/>
  <c r="J1455" i="1" a="1"/>
  <c r="J1455" i="1" s="1"/>
  <c r="F1455" i="1" a="1"/>
  <c r="F1455" i="1" s="1"/>
  <c r="I1454" i="1" a="1"/>
  <c r="I1454" i="1" s="1"/>
  <c r="H1454" i="1" a="1"/>
  <c r="H1454" i="1" s="1"/>
  <c r="K1454" i="1" a="1"/>
  <c r="K1454" i="1" s="1"/>
  <c r="J1454" i="1" a="1"/>
  <c r="J1454" i="1" s="1"/>
  <c r="K1483" i="1" a="1"/>
  <c r="K1483" i="1"/>
  <c r="F1483" i="1" a="1"/>
  <c r="F1483" i="1" s="1"/>
  <c r="G1454" i="1" a="1"/>
  <c r="G1454" i="1" s="1"/>
  <c r="F1453" i="1" a="1"/>
  <c r="F1453" i="1" s="1"/>
  <c r="K1456" i="1" a="1"/>
  <c r="K1456" i="1"/>
  <c r="K1445" i="1" a="1"/>
  <c r="K1445" i="1" s="1"/>
  <c r="G1451" i="1" a="1"/>
  <c r="G1451" i="1"/>
  <c r="K1448" i="1" a="1"/>
  <c r="K1448" i="1" s="1"/>
  <c r="F1451" i="1" a="1"/>
  <c r="F1451" i="1"/>
  <c r="I1450" i="1" a="1"/>
  <c r="I1450" i="1" s="1"/>
  <c r="F1449" i="1" a="1"/>
  <c r="F1449" i="1" s="1"/>
  <c r="F1448" i="1" a="1"/>
  <c r="F1448" i="1"/>
  <c r="K1444" i="1" a="1"/>
  <c r="K1444" i="1" s="1"/>
  <c r="I1442" i="1" a="1"/>
  <c r="I1442" i="1"/>
  <c r="H1450" i="1" a="1"/>
  <c r="H1450" i="1"/>
  <c r="J1446" i="1" a="1"/>
  <c r="J1446" i="1" s="1"/>
  <c r="H1449" i="1" a="1"/>
  <c r="H1449" i="1" s="1"/>
  <c r="F1444" i="1" a="1"/>
  <c r="F1444" i="1" s="1"/>
  <c r="H1442" i="1" a="1"/>
  <c r="H1442" i="1" s="1"/>
  <c r="I1448" i="1" a="1"/>
  <c r="I1448" i="1" s="1"/>
  <c r="J1442" i="1" a="1"/>
  <c r="J1442" i="1" s="1"/>
  <c r="K1447" i="1" a="1"/>
  <c r="K1447" i="1"/>
  <c r="G1452" i="1" a="1"/>
  <c r="G1452" i="1" s="1"/>
  <c r="I1451" i="1" a="1"/>
  <c r="I1451" i="1" s="1"/>
  <c r="G1448" i="1" a="1"/>
  <c r="G1448" i="1" s="1"/>
  <c r="H1443" i="1" a="1"/>
  <c r="H1443" i="1"/>
  <c r="J1450" i="1" a="1"/>
  <c r="J1450" i="1" s="1"/>
  <c r="G1449" i="1" a="1"/>
  <c r="G1449" i="1"/>
  <c r="G1445" i="1" a="1"/>
  <c r="G1445" i="1" s="1"/>
  <c r="I1447" i="1" a="1"/>
  <c r="I1447" i="1" s="1"/>
  <c r="K1443" i="1" a="1"/>
  <c r="K1443" i="1" s="1"/>
  <c r="G1450" i="1" a="1"/>
  <c r="G1450" i="1" s="1"/>
  <c r="J1448" i="1" a="1"/>
  <c r="J1448" i="1"/>
  <c r="G1443" i="1" a="1"/>
  <c r="G1443" i="1" s="1"/>
  <c r="H1445" i="1" a="1"/>
  <c r="H1445" i="1"/>
  <c r="F1446" i="1" a="1"/>
  <c r="F1446" i="1"/>
  <c r="F1450" i="1" a="1"/>
  <c r="F1450" i="1" s="1"/>
  <c r="K1446" i="1" a="1"/>
  <c r="K1446" i="1" s="1"/>
  <c r="J1449" i="1" a="1"/>
  <c r="J1449" i="1" s="1"/>
  <c r="F1447" i="1" a="1"/>
  <c r="F1447" i="1" s="1"/>
  <c r="H1446" i="1" a="1"/>
  <c r="H1446" i="1"/>
  <c r="J1445" i="1" a="1"/>
  <c r="J1445" i="1" s="1"/>
  <c r="G1444" i="1" a="1"/>
  <c r="G1444" i="1"/>
  <c r="G1442" i="1" a="1"/>
  <c r="G1442" i="1" s="1"/>
  <c r="H1448" i="1" a="1"/>
  <c r="H1448" i="1" s="1"/>
  <c r="F1445" i="1" a="1"/>
  <c r="F1445" i="1" s="1"/>
  <c r="J1443" i="1" a="1"/>
  <c r="J1443" i="1"/>
  <c r="J1452" i="1" a="1"/>
  <c r="J1452" i="1" s="1"/>
  <c r="I1452" i="1" a="1"/>
  <c r="I1452" i="1"/>
  <c r="K1451" i="1" a="1"/>
  <c r="K1451" i="1" s="1"/>
  <c r="J1447" i="1" a="1"/>
  <c r="J1447" i="1" s="1"/>
  <c r="F1443" i="1" a="1"/>
  <c r="F1443" i="1" s="1"/>
  <c r="H1444" i="1" a="1"/>
  <c r="H1444" i="1" s="1"/>
  <c r="G1446" i="1" a="1"/>
  <c r="G1446" i="1"/>
  <c r="K1442" i="1" a="1"/>
  <c r="K1442" i="1" s="1"/>
  <c r="K1450" i="1" a="1"/>
  <c r="K1450" i="1"/>
  <c r="I1444" i="1" a="1"/>
  <c r="I1444" i="1"/>
  <c r="I1443" i="1" a="1"/>
  <c r="I1443" i="1" s="1"/>
  <c r="K1449" i="1" a="1"/>
  <c r="K1449" i="1" s="1"/>
  <c r="I1445" i="1" a="1"/>
  <c r="I1445" i="1" s="1"/>
  <c r="J1444" i="1" a="1"/>
  <c r="J1444" i="1" s="1"/>
  <c r="H1452" i="1" a="1"/>
  <c r="H1452" i="1"/>
  <c r="I1446" i="1" a="1"/>
  <c r="I1446" i="1" s="1"/>
  <c r="H1447" i="1" a="1"/>
  <c r="H1447" i="1"/>
  <c r="G1447" i="1" a="1"/>
  <c r="G1447" i="1" s="1"/>
  <c r="I1449" i="1" a="1"/>
  <c r="I1449" i="1" s="1"/>
  <c r="F1452" i="1" a="1"/>
  <c r="F1452" i="1" s="1"/>
  <c r="J1451" i="1" a="1"/>
  <c r="J1451" i="1"/>
  <c r="H1451" i="1" a="1"/>
  <c r="H1451" i="1" s="1"/>
  <c r="H1436" i="1" a="1"/>
  <c r="H1436" i="1" s="1"/>
  <c r="G1435" i="1" a="1"/>
  <c r="G1435" i="1" s="1"/>
  <c r="J1441" i="1" a="1"/>
  <c r="J1441" i="1" s="1"/>
  <c r="H1441" i="1" a="1"/>
  <c r="H1441" i="1" s="1"/>
  <c r="G1441" i="1" a="1"/>
  <c r="G1441" i="1" s="1"/>
  <c r="K1437" i="1" a="1"/>
  <c r="K1437" i="1"/>
  <c r="J1435" i="1" a="1"/>
  <c r="J1435" i="1" s="1"/>
  <c r="F1437" i="1" a="1"/>
  <c r="F1437" i="1"/>
  <c r="F1435" i="1" a="1"/>
  <c r="F1435" i="1"/>
  <c r="F1441" i="1" a="1"/>
  <c r="F1441" i="1" s="1"/>
  <c r="H1440" i="1" a="1"/>
  <c r="H1440" i="1" s="1"/>
  <c r="K1439" i="1" a="1"/>
  <c r="K1439" i="1"/>
  <c r="K1435" i="1" a="1"/>
  <c r="K1435" i="1" s="1"/>
  <c r="H1434" i="1" a="1"/>
  <c r="H1434" i="1"/>
  <c r="J1439" i="1" a="1"/>
  <c r="J1439" i="1" s="1"/>
  <c r="F1439" i="1" a="1"/>
  <c r="F1439" i="1"/>
  <c r="K1431" i="1" a="1"/>
  <c r="K1431" i="1" s="1"/>
  <c r="I1438" i="1" a="1"/>
  <c r="I1438" i="1" s="1"/>
  <c r="F1438" i="1" a="1"/>
  <c r="F1438" i="1" s="1"/>
  <c r="H1435" i="1" a="1"/>
  <c r="H1435" i="1"/>
  <c r="J1436" i="1" a="1"/>
  <c r="J1436" i="1" s="1"/>
  <c r="I1437" i="1" a="1"/>
  <c r="I1437" i="1" s="1"/>
  <c r="G1434" i="1" a="1"/>
  <c r="G1434" i="1" s="1"/>
  <c r="I1436" i="1" a="1"/>
  <c r="I1436" i="1" s="1"/>
  <c r="F1434" i="1" a="1"/>
  <c r="F1434" i="1" s="1"/>
  <c r="J1432" i="1" a="1"/>
  <c r="J1432" i="1" s="1"/>
  <c r="K1432" i="1" a="1"/>
  <c r="K1432" i="1"/>
  <c r="K1440" i="1" a="1"/>
  <c r="K1440" i="1" s="1"/>
  <c r="I1434" i="1" a="1"/>
  <c r="I1434" i="1"/>
  <c r="H1437" i="1" a="1"/>
  <c r="H1437" i="1"/>
  <c r="F1442" i="1" a="1"/>
  <c r="F1442" i="1" s="1"/>
  <c r="K1436" i="1" a="1"/>
  <c r="K1436" i="1" s="1"/>
  <c r="G1440" i="1" a="1"/>
  <c r="G1440" i="1"/>
  <c r="I1435" i="1" a="1"/>
  <c r="I1435" i="1" s="1"/>
  <c r="H1439" i="1" a="1"/>
  <c r="H1439" i="1"/>
  <c r="J1437" i="1" a="1"/>
  <c r="J1437" i="1" s="1"/>
  <c r="F1436" i="1" a="1"/>
  <c r="F1436" i="1"/>
  <c r="K1434" i="1" a="1"/>
  <c r="K1434" i="1" s="1"/>
  <c r="K1441" i="1" a="1"/>
  <c r="K1441" i="1" s="1"/>
  <c r="I1441" i="1" a="1"/>
  <c r="I1441" i="1" s="1"/>
  <c r="G1436" i="1" a="1"/>
  <c r="G1436" i="1" s="1"/>
  <c r="J1440" i="1" a="1"/>
  <c r="J1440" i="1" s="1"/>
  <c r="I1432" i="1" a="1"/>
  <c r="I1432" i="1" s="1"/>
  <c r="I1440" i="1" a="1"/>
  <c r="I1440" i="1" s="1"/>
  <c r="K1438" i="1" a="1"/>
  <c r="K1438" i="1" s="1"/>
  <c r="J1434" i="1" a="1"/>
  <c r="J1434" i="1" s="1"/>
  <c r="H1438" i="1" a="1"/>
  <c r="H1438" i="1" s="1"/>
  <c r="G1432" i="1" a="1"/>
  <c r="G1432" i="1"/>
  <c r="F1432" i="1" a="1"/>
  <c r="F1432" i="1" s="1"/>
  <c r="F1440" i="1" a="1"/>
  <c r="F1440" i="1"/>
  <c r="I1439" i="1" a="1"/>
  <c r="I1439" i="1" s="1"/>
  <c r="H1432" i="1" a="1"/>
  <c r="H1432" i="1"/>
  <c r="G1437" i="1" a="1"/>
  <c r="G1437" i="1" s="1"/>
  <c r="G1439" i="1" a="1"/>
  <c r="G1439" i="1"/>
  <c r="J1438" i="1" a="1"/>
  <c r="J1438" i="1" s="1"/>
  <c r="G1438" i="1" a="1"/>
  <c r="G1438" i="1"/>
  <c r="J1419" i="1" a="1"/>
  <c r="J1419" i="1" s="1"/>
  <c r="G1420" i="1" a="1"/>
  <c r="G1420" i="1"/>
  <c r="K1428" i="1" a="1"/>
  <c r="K1428" i="1" s="1"/>
  <c r="K1422" i="1" a="1"/>
  <c r="K1422" i="1" s="1"/>
  <c r="H1428" i="1" a="1"/>
  <c r="H1428" i="1" s="1"/>
  <c r="F1422" i="1" a="1"/>
  <c r="F1422" i="1"/>
  <c r="I1422" i="1" a="1"/>
  <c r="I1422" i="1" s="1"/>
  <c r="H1430" i="1" a="1"/>
  <c r="H1430" i="1" s="1"/>
  <c r="F1430" i="1" a="1"/>
  <c r="F1430" i="1" s="1"/>
  <c r="I1428" i="1" a="1"/>
  <c r="I1428" i="1" s="1"/>
  <c r="H1420" i="1" a="1"/>
  <c r="H1420" i="1" s="1"/>
  <c r="G1428" i="1" a="1"/>
  <c r="G1428" i="1" s="1"/>
  <c r="K1421" i="1" a="1"/>
  <c r="K1421" i="1"/>
  <c r="F1421" i="1" a="1"/>
  <c r="F1421" i="1" s="1"/>
  <c r="K1419" i="1" a="1"/>
  <c r="K1419" i="1" s="1"/>
  <c r="J1422" i="1" a="1"/>
  <c r="J1422" i="1" s="1"/>
  <c r="G1422" i="1" a="1"/>
  <c r="G1422" i="1"/>
  <c r="J1420" i="1" a="1"/>
  <c r="J1420" i="1" s="1"/>
  <c r="J1421" i="1" a="1"/>
  <c r="J1421" i="1"/>
  <c r="J1431" i="1" a="1"/>
  <c r="J1431" i="1" s="1"/>
  <c r="H1431" i="1" a="1"/>
  <c r="H1431" i="1"/>
  <c r="I1431" i="1" a="1"/>
  <c r="I1431" i="1" s="1"/>
  <c r="F1429" i="1" a="1"/>
  <c r="F1429" i="1"/>
  <c r="K1420" i="1" a="1"/>
  <c r="K1420" i="1" s="1"/>
  <c r="G1429" i="1" a="1"/>
  <c r="G1429" i="1" s="1"/>
  <c r="I1421" i="1" a="1"/>
  <c r="I1421" i="1"/>
  <c r="G1421" i="1" a="1"/>
  <c r="G1421" i="1"/>
  <c r="I1420" i="1" a="1"/>
  <c r="I1420" i="1" s="1"/>
  <c r="J1429" i="1" a="1"/>
  <c r="J1429" i="1" s="1"/>
  <c r="J1428" i="1" a="1"/>
  <c r="J1428" i="1" s="1"/>
  <c r="H1422" i="1" a="1"/>
  <c r="H1422" i="1" s="1"/>
  <c r="G1431" i="1" a="1"/>
  <c r="G1431" i="1" s="1"/>
  <c r="F1431" i="1" a="1"/>
  <c r="F1431" i="1" s="1"/>
  <c r="F1428" i="1" a="1"/>
  <c r="F1428" i="1"/>
  <c r="K1430" i="1" a="1"/>
  <c r="K1430" i="1" s="1"/>
  <c r="J1430" i="1" a="1"/>
  <c r="J1430" i="1" s="1"/>
  <c r="I1429" i="1" a="1"/>
  <c r="I1429" i="1" s="1"/>
  <c r="F1420" i="1" a="1"/>
  <c r="F1420" i="1"/>
  <c r="H1421" i="1" a="1"/>
  <c r="H1421" i="1" s="1"/>
  <c r="I1430" i="1" a="1"/>
  <c r="I1430" i="1"/>
  <c r="G1430" i="1" a="1"/>
  <c r="G1430" i="1" s="1"/>
  <c r="K1429" i="1" a="1"/>
  <c r="K1429" i="1"/>
  <c r="H1429" i="1" a="1"/>
  <c r="H1429" i="1" s="1"/>
  <c r="G1416" i="1" a="1"/>
  <c r="G1416" i="1"/>
  <c r="J1416" i="1" a="1"/>
  <c r="J1416" i="1" s="1"/>
  <c r="I1416" i="1" a="1"/>
  <c r="I1416" i="1" s="1"/>
  <c r="K1407" i="1" a="1"/>
  <c r="K1407" i="1"/>
  <c r="F1414" i="1" a="1"/>
  <c r="F1414" i="1"/>
  <c r="H1416" i="1" a="1"/>
  <c r="H1416" i="1" s="1"/>
  <c r="I1408" i="1" a="1"/>
  <c r="I1408" i="1" s="1"/>
  <c r="F1416" i="1" a="1"/>
  <c r="F1416" i="1" s="1"/>
  <c r="K1415" i="1" a="1"/>
  <c r="K1415" i="1" s="1"/>
  <c r="J1415" i="1" a="1"/>
  <c r="J1415" i="1" s="1"/>
  <c r="H1415" i="1" a="1"/>
  <c r="H1415" i="1" s="1"/>
  <c r="F1415" i="1" a="1"/>
  <c r="F1415" i="1" s="1"/>
  <c r="H1407" i="1" a="1"/>
  <c r="H1407" i="1" s="1"/>
  <c r="H1414" i="1" a="1"/>
  <c r="H1414" i="1" s="1"/>
  <c r="F1407" i="1" a="1"/>
  <c r="F1407" i="1" s="1"/>
  <c r="K1406" i="1" a="1"/>
  <c r="K1406" i="1"/>
  <c r="H1408" i="1" a="1"/>
  <c r="H1408" i="1" s="1"/>
  <c r="F1408" i="1" a="1"/>
  <c r="F1408" i="1"/>
  <c r="J1407" i="1" a="1"/>
  <c r="J1407" i="1" s="1"/>
  <c r="G1407" i="1" a="1"/>
  <c r="G1407" i="1"/>
  <c r="G1415" i="1" a="1"/>
  <c r="G1415" i="1" s="1"/>
  <c r="J1414" i="1" a="1"/>
  <c r="J1414" i="1" s="1"/>
  <c r="I1414" i="1" a="1"/>
  <c r="I1414" i="1"/>
  <c r="I1419" i="1" a="1"/>
  <c r="I1419" i="1" s="1"/>
  <c r="F1419" i="1" a="1"/>
  <c r="F1419" i="1"/>
  <c r="J1408" i="1" a="1"/>
  <c r="J1408" i="1"/>
  <c r="I1418" i="1" a="1"/>
  <c r="I1418" i="1" s="1"/>
  <c r="G1419" i="1" a="1"/>
  <c r="G1419" i="1" s="1"/>
  <c r="I1415" i="1" a="1"/>
  <c r="I1415" i="1" s="1"/>
  <c r="F1418" i="1" a="1"/>
  <c r="F1418" i="1" s="1"/>
  <c r="K1414" i="1" a="1"/>
  <c r="K1414" i="1" s="1"/>
  <c r="J1417" i="1" a="1"/>
  <c r="J1417" i="1" s="1"/>
  <c r="K1417" i="1" a="1"/>
  <c r="K1417" i="1"/>
  <c r="I1407" i="1" a="1"/>
  <c r="I1407" i="1" s="1"/>
  <c r="H1419" i="1" a="1"/>
  <c r="H1419" i="1" s="1"/>
  <c r="K1418" i="1" a="1"/>
  <c r="K1418" i="1" s="1"/>
  <c r="J1418" i="1" a="1"/>
  <c r="J1418" i="1"/>
  <c r="H1418" i="1" a="1"/>
  <c r="H1418" i="1" s="1"/>
  <c r="G1414" i="1" a="1"/>
  <c r="G1414" i="1"/>
  <c r="G1408" i="1" a="1"/>
  <c r="G1408" i="1" s="1"/>
  <c r="G1418" i="1" a="1"/>
  <c r="G1418" i="1"/>
  <c r="I1417" i="1" a="1"/>
  <c r="I1417" i="1" s="1"/>
  <c r="H1417" i="1" a="1"/>
  <c r="H1417" i="1" s="1"/>
  <c r="G1417" i="1" a="1"/>
  <c r="G1417" i="1"/>
  <c r="F1417" i="1" a="1"/>
  <c r="F1417" i="1" s="1"/>
  <c r="K1416" i="1" a="1"/>
  <c r="K1416" i="1"/>
  <c r="K1408" i="1" a="1"/>
  <c r="K1408" i="1"/>
  <c r="F1406" i="1" a="1"/>
  <c r="F1406" i="1" s="1"/>
  <c r="I1400" i="1" a="1"/>
  <c r="I1400" i="1" s="1"/>
  <c r="K1405" i="1" a="1"/>
  <c r="K1405" i="1" s="1"/>
  <c r="I1405" i="1" a="1"/>
  <c r="I1405" i="1" s="1"/>
  <c r="H1405" i="1" a="1"/>
  <c r="H1405" i="1" s="1"/>
  <c r="J1403" i="1" a="1"/>
  <c r="J1403" i="1" s="1"/>
  <c r="F1402" i="1" a="1"/>
  <c r="F1402" i="1"/>
  <c r="K1401" i="1" a="1"/>
  <c r="K1401" i="1" s="1"/>
  <c r="K1400" i="1" a="1"/>
  <c r="K1400" i="1" s="1"/>
  <c r="I1399" i="1" a="1"/>
  <c r="I1399" i="1" s="1"/>
  <c r="G1405" i="1" a="1"/>
  <c r="G1405" i="1"/>
  <c r="F1399" i="1" a="1"/>
  <c r="F1399" i="1" s="1"/>
  <c r="F1405" i="1" a="1"/>
  <c r="F1405" i="1"/>
  <c r="J1402" i="1" a="1"/>
  <c r="J1402" i="1" s="1"/>
  <c r="J1400" i="1" a="1"/>
  <c r="J1400" i="1" s="1"/>
  <c r="I1403" i="1" a="1"/>
  <c r="I1403" i="1" s="1"/>
  <c r="H1403" i="1" a="1"/>
  <c r="H1403" i="1" s="1"/>
  <c r="G1401" i="1" a="1"/>
  <c r="G1401" i="1"/>
  <c r="H1399" i="1" a="1"/>
  <c r="H1399" i="1" s="1"/>
  <c r="K1402" i="1" a="1"/>
  <c r="K1402" i="1"/>
  <c r="H1400" i="1" a="1"/>
  <c r="H1400" i="1"/>
  <c r="J1401" i="1" a="1"/>
  <c r="J1401" i="1" s="1"/>
  <c r="J1399" i="1" a="1"/>
  <c r="J1399" i="1" s="1"/>
  <c r="J1405" i="1" a="1"/>
  <c r="J1405" i="1" s="1"/>
  <c r="F1401" i="1" a="1"/>
  <c r="F1401" i="1" s="1"/>
  <c r="G1400" i="1" a="1"/>
  <c r="G1400" i="1"/>
  <c r="I1402" i="1" a="1"/>
  <c r="I1402" i="1" s="1"/>
  <c r="K1399" i="1" a="1"/>
  <c r="K1399" i="1"/>
  <c r="J1406" i="1" a="1"/>
  <c r="J1406" i="1" s="1"/>
  <c r="G1399" i="1" a="1"/>
  <c r="G1399" i="1" s="1"/>
  <c r="I1406" i="1" a="1"/>
  <c r="I1406" i="1" s="1"/>
  <c r="G1406" i="1" a="1"/>
  <c r="G1406" i="1"/>
  <c r="G1403" i="1" a="1"/>
  <c r="G1403" i="1" s="1"/>
  <c r="F1403" i="1" a="1"/>
  <c r="F1403" i="1"/>
  <c r="H1402" i="1" a="1"/>
  <c r="H1402" i="1" s="1"/>
  <c r="I1401" i="1" a="1"/>
  <c r="I1401" i="1" s="1"/>
  <c r="H1401" i="1" a="1"/>
  <c r="H1401" i="1" s="1"/>
  <c r="G1402" i="1" a="1"/>
  <c r="G1402" i="1" s="1"/>
  <c r="H1406" i="1" a="1"/>
  <c r="H1406" i="1"/>
  <c r="K1403" i="1" a="1"/>
  <c r="K1403" i="1" s="1"/>
  <c r="F1400" i="1" a="1"/>
  <c r="F1400" i="1"/>
  <c r="I1370" i="1" a="1"/>
  <c r="I1370" i="1"/>
  <c r="G1369" i="1" a="1"/>
  <c r="G1369" i="1" s="1"/>
  <c r="I1369" i="1" a="1"/>
  <c r="I1369" i="1" s="1"/>
  <c r="I1367" i="1" a="1"/>
  <c r="I1367" i="1" s="1"/>
  <c r="F1371" i="1" a="1"/>
  <c r="F1371" i="1" s="1"/>
  <c r="I1371" i="1" a="1"/>
  <c r="I1371" i="1"/>
  <c r="H1369" i="1" a="1"/>
  <c r="H1369" i="1" s="1"/>
  <c r="F1370" i="1" a="1"/>
  <c r="F1370" i="1"/>
  <c r="G1368" i="1" a="1"/>
  <c r="G1368" i="1" s="1"/>
  <c r="G1366" i="1" a="1"/>
  <c r="G1366" i="1" s="1"/>
  <c r="K1372" i="1" a="1"/>
  <c r="K1372" i="1" s="1"/>
  <c r="I1368" i="1" a="1"/>
  <c r="I1368" i="1"/>
  <c r="J1372" i="1" a="1"/>
  <c r="J1372" i="1" s="1"/>
  <c r="F1372" i="1" a="1"/>
  <c r="F1372" i="1" s="1"/>
  <c r="G1367" i="1" a="1"/>
  <c r="G1367" i="1" s="1"/>
  <c r="I1365" i="1" a="1"/>
  <c r="I1365" i="1" s="1"/>
  <c r="H1370" i="1" a="1"/>
  <c r="H1370" i="1" s="1"/>
  <c r="J1365" i="1" a="1"/>
  <c r="J1365" i="1" s="1"/>
  <c r="K1367" i="1" a="1"/>
  <c r="K1367" i="1"/>
  <c r="J1370" i="1" a="1"/>
  <c r="J1370" i="1" s="1"/>
  <c r="J1369" i="1" a="1"/>
  <c r="J1369" i="1"/>
  <c r="H1372" i="1" a="1"/>
  <c r="H1372" i="1"/>
  <c r="J1371" i="1" a="1"/>
  <c r="J1371" i="1" s="1"/>
  <c r="F1367" i="1" a="1"/>
  <c r="F1367" i="1" s="1"/>
  <c r="G1372" i="1" a="1"/>
  <c r="G1372" i="1"/>
  <c r="H1368" i="1" a="1"/>
  <c r="H1368" i="1" s="1"/>
  <c r="K1371" i="1" a="1"/>
  <c r="K1371" i="1"/>
  <c r="J1366" i="1" a="1"/>
  <c r="J1366" i="1" s="1"/>
  <c r="F1368" i="1" a="1"/>
  <c r="F1368" i="1"/>
  <c r="I1372" i="1" a="1"/>
  <c r="I1372" i="1" s="1"/>
  <c r="K1370" i="1" a="1"/>
  <c r="K1370" i="1" s="1"/>
  <c r="G1370" i="1" a="1"/>
  <c r="G1370" i="1" s="1"/>
  <c r="K1368" i="1" a="1"/>
  <c r="K1368" i="1"/>
  <c r="H1367" i="1" a="1"/>
  <c r="H1367" i="1" s="1"/>
  <c r="F1366" i="1" a="1"/>
  <c r="F1366" i="1" s="1"/>
  <c r="J1367" i="1" a="1"/>
  <c r="J1367" i="1" s="1"/>
  <c r="I1366" i="1" a="1"/>
  <c r="I1366" i="1" s="1"/>
  <c r="J1368" i="1" a="1"/>
  <c r="J1368" i="1" s="1"/>
  <c r="G1371" i="1" a="1"/>
  <c r="G1371" i="1" s="1"/>
  <c r="K1369" i="1" a="1"/>
  <c r="K1369" i="1"/>
  <c r="K1365" i="1" a="1"/>
  <c r="K1365" i="1" s="1"/>
  <c r="H1366" i="1" a="1"/>
  <c r="H1366" i="1"/>
  <c r="F1369" i="1" a="1"/>
  <c r="F1369" i="1"/>
  <c r="K1366" i="1" a="1"/>
  <c r="K1366" i="1" s="1"/>
  <c r="H1371" i="1" a="1"/>
  <c r="H1371" i="1" s="1"/>
  <c r="F1362" i="1" a="1"/>
  <c r="F1362" i="1"/>
  <c r="H1361" i="1" a="1"/>
  <c r="H1361" i="1" s="1"/>
  <c r="K1359" i="1" a="1"/>
  <c r="K1359" i="1"/>
  <c r="G1360" i="1" a="1"/>
  <c r="G1360" i="1" s="1"/>
  <c r="K1361" i="1" a="1"/>
  <c r="K1361" i="1"/>
  <c r="J1361" i="1" a="1"/>
  <c r="J1361" i="1" s="1"/>
  <c r="K1358" i="1" a="1"/>
  <c r="K1358" i="1" s="1"/>
  <c r="J1358" i="1" a="1"/>
  <c r="J1358" i="1" s="1"/>
  <c r="H1358" i="1" a="1"/>
  <c r="H1358" i="1" s="1"/>
  <c r="G1355" i="1" a="1"/>
  <c r="G1355" i="1" s="1"/>
  <c r="K1356" i="1" a="1"/>
  <c r="K1356" i="1" s="1"/>
  <c r="I1356" i="1" a="1"/>
  <c r="I1356" i="1" s="1"/>
  <c r="F1356" i="1" a="1"/>
  <c r="F1356" i="1" s="1"/>
  <c r="J1355" i="1" a="1"/>
  <c r="J1355" i="1" s="1"/>
  <c r="F1359" i="1" a="1"/>
  <c r="F1359" i="1" s="1"/>
  <c r="G1358" i="1" a="1"/>
  <c r="G1358" i="1"/>
  <c r="H1355" i="1" a="1"/>
  <c r="H1355" i="1" s="1"/>
  <c r="K1360" i="1" a="1"/>
  <c r="K1360" i="1"/>
  <c r="I1357" i="1" a="1"/>
  <c r="I1357" i="1" s="1"/>
  <c r="F1357" i="1" a="1"/>
  <c r="F1357" i="1"/>
  <c r="H1356" i="1" a="1"/>
  <c r="H1356" i="1" s="1"/>
  <c r="I1361" i="1" a="1"/>
  <c r="I1361" i="1"/>
  <c r="I1355" i="1" a="1"/>
  <c r="I1355" i="1" s="1"/>
  <c r="G1361" i="1" a="1"/>
  <c r="G1361" i="1"/>
  <c r="I1360" i="1" a="1"/>
  <c r="I1360" i="1" s="1"/>
  <c r="F1360" i="1" a="1"/>
  <c r="F1360" i="1"/>
  <c r="G1359" i="1" a="1"/>
  <c r="G1359" i="1" s="1"/>
  <c r="F1361" i="1" a="1"/>
  <c r="F1361" i="1" s="1"/>
  <c r="J1356" i="1" a="1"/>
  <c r="J1356" i="1" s="1"/>
  <c r="G1356" i="1" a="1"/>
  <c r="G1356" i="1"/>
  <c r="K1354" i="1" a="1"/>
  <c r="K1354" i="1" s="1"/>
  <c r="J1359" i="1" a="1"/>
  <c r="J1359" i="1" s="1"/>
  <c r="K1355" i="1" a="1"/>
  <c r="K1355" i="1" s="1"/>
  <c r="F1358" i="1" a="1"/>
  <c r="F1358" i="1" s="1"/>
  <c r="I1358" i="1" a="1"/>
  <c r="I1358" i="1" s="1"/>
  <c r="H1365" i="1" a="1"/>
  <c r="H1365" i="1" s="1"/>
  <c r="G1363" i="1" a="1"/>
  <c r="G1363" i="1"/>
  <c r="F1355" i="1" a="1"/>
  <c r="F1355" i="1" s="1"/>
  <c r="I1363" i="1" a="1"/>
  <c r="I1363" i="1" s="1"/>
  <c r="G1365" i="1" a="1"/>
  <c r="G1365" i="1" s="1"/>
  <c r="K1362" i="1" a="1"/>
  <c r="K1362" i="1"/>
  <c r="H1357" i="1" a="1"/>
  <c r="H1357" i="1" s="1"/>
  <c r="I1359" i="1" a="1"/>
  <c r="I1359" i="1"/>
  <c r="J1360" i="1" a="1"/>
  <c r="J1360" i="1" s="1"/>
  <c r="F1365" i="1" a="1"/>
  <c r="F1365" i="1"/>
  <c r="K1364" i="1" a="1"/>
  <c r="K1364" i="1" s="1"/>
  <c r="J1364" i="1" a="1"/>
  <c r="J1364" i="1"/>
  <c r="I1364" i="1" a="1"/>
  <c r="I1364" i="1" s="1"/>
  <c r="H1360" i="1" a="1"/>
  <c r="H1360" i="1" s="1"/>
  <c r="H1364" i="1" a="1"/>
  <c r="H1364" i="1"/>
  <c r="G1364" i="1" a="1"/>
  <c r="G1364" i="1"/>
  <c r="F1364" i="1" a="1"/>
  <c r="F1364" i="1" s="1"/>
  <c r="G1357" i="1" a="1"/>
  <c r="G1357" i="1" s="1"/>
  <c r="K1363" i="1" a="1"/>
  <c r="K1363" i="1" s="1"/>
  <c r="J1363" i="1" a="1"/>
  <c r="J1363" i="1" s="1"/>
  <c r="H1363" i="1" a="1"/>
  <c r="H1363" i="1" s="1"/>
  <c r="F1363" i="1" a="1"/>
  <c r="F1363" i="1" s="1"/>
  <c r="J1362" i="1" a="1"/>
  <c r="J1362" i="1"/>
  <c r="J1357" i="1" a="1"/>
  <c r="J1357" i="1" s="1"/>
  <c r="I1362" i="1" a="1"/>
  <c r="I1362" i="1" s="1"/>
  <c r="H1362" i="1" a="1"/>
  <c r="H1362" i="1" s="1"/>
  <c r="G1362" i="1" a="1"/>
  <c r="G1362" i="1"/>
  <c r="K1357" i="1" a="1"/>
  <c r="K1357" i="1" s="1"/>
  <c r="H1359" i="1" a="1"/>
  <c r="H1359" i="1"/>
  <c r="J1345" i="1" a="1"/>
  <c r="J1345" i="1" s="1"/>
  <c r="J1350" i="1" a="1"/>
  <c r="J1350" i="1"/>
  <c r="J1348" i="1" a="1"/>
  <c r="J1348" i="1" s="1"/>
  <c r="G1346" i="1" a="1"/>
  <c r="G1346" i="1"/>
  <c r="J1347" i="1" a="1"/>
  <c r="J1347" i="1" s="1"/>
  <c r="F1345" i="1" a="1"/>
  <c r="F1345" i="1" s="1"/>
  <c r="H1353" i="1" a="1"/>
  <c r="H1353" i="1"/>
  <c r="F1346" i="1" a="1"/>
  <c r="F1346" i="1"/>
  <c r="G1347" i="1" a="1"/>
  <c r="G1347" i="1" s="1"/>
  <c r="H1346" i="1" a="1"/>
  <c r="H1346" i="1" s="1"/>
  <c r="H1348" i="1" a="1"/>
  <c r="H1348" i="1" s="1"/>
  <c r="F1348" i="1" a="1"/>
  <c r="F1348" i="1" s="1"/>
  <c r="F1353" i="1" a="1"/>
  <c r="F1353" i="1" s="1"/>
  <c r="J1352" i="1" a="1"/>
  <c r="J1352" i="1" s="1"/>
  <c r="G1352" i="1" a="1"/>
  <c r="G1352" i="1" s="1"/>
  <c r="I1352" i="1" a="1"/>
  <c r="I1352" i="1" s="1"/>
  <c r="K1351" i="1" a="1"/>
  <c r="K1351" i="1" s="1"/>
  <c r="H1351" i="1" a="1"/>
  <c r="H1351" i="1" s="1"/>
  <c r="J1344" i="1" a="1"/>
  <c r="J1344" i="1"/>
  <c r="F1350" i="1" a="1"/>
  <c r="F1350" i="1" s="1"/>
  <c r="K1347" i="1" a="1"/>
  <c r="K1347" i="1"/>
  <c r="I1350" i="1" a="1"/>
  <c r="I1350" i="1" s="1"/>
  <c r="G1344" i="1" a="1"/>
  <c r="G1344" i="1"/>
  <c r="I1348" i="1" a="1"/>
  <c r="I1348" i="1" s="1"/>
  <c r="H1347" i="1" a="1"/>
  <c r="H1347" i="1" s="1"/>
  <c r="F1347" i="1" a="1"/>
  <c r="F1347" i="1"/>
  <c r="H1344" i="1" a="1"/>
  <c r="H1344" i="1" s="1"/>
  <c r="G1345" i="1" a="1"/>
  <c r="G1345" i="1"/>
  <c r="K1346" i="1" a="1"/>
  <c r="K1346" i="1"/>
  <c r="G1353" i="1" a="1"/>
  <c r="G1353" i="1" s="1"/>
  <c r="H1352" i="1" a="1"/>
  <c r="H1352" i="1" s="1"/>
  <c r="F1352" i="1" a="1"/>
  <c r="F1352" i="1" s="1"/>
  <c r="K1350" i="1" a="1"/>
  <c r="K1350" i="1" s="1"/>
  <c r="I1345" i="1" a="1"/>
  <c r="I1345" i="1" s="1"/>
  <c r="K1348" i="1" a="1"/>
  <c r="K1348" i="1" s="1"/>
  <c r="F1344" i="1" a="1"/>
  <c r="F1344" i="1"/>
  <c r="G1351" i="1" a="1"/>
  <c r="G1351" i="1" s="1"/>
  <c r="J1346" i="1" a="1"/>
  <c r="J1346" i="1" s="1"/>
  <c r="K1352" i="1" a="1"/>
  <c r="K1352" i="1" s="1"/>
  <c r="G1350" i="1" a="1"/>
  <c r="G1350" i="1"/>
  <c r="G1348" i="1" a="1"/>
  <c r="G1348" i="1" s="1"/>
  <c r="J1354" i="1" a="1"/>
  <c r="J1354" i="1"/>
  <c r="J1351" i="1" a="1"/>
  <c r="J1351" i="1" s="1"/>
  <c r="I1344" i="1" a="1"/>
  <c r="I1344" i="1"/>
  <c r="H1350" i="1" a="1"/>
  <c r="H1350" i="1" s="1"/>
  <c r="I1347" i="1" a="1"/>
  <c r="I1347" i="1" s="1"/>
  <c r="I1354" i="1" a="1"/>
  <c r="I1354" i="1"/>
  <c r="K1344" i="1" a="1"/>
  <c r="K1344" i="1" s="1"/>
  <c r="H1354" i="1" a="1"/>
  <c r="H1354" i="1"/>
  <c r="G1354" i="1" a="1"/>
  <c r="G1354" i="1"/>
  <c r="H1345" i="1" a="1"/>
  <c r="H1345" i="1" s="1"/>
  <c r="F1351" i="1" a="1"/>
  <c r="F1351" i="1" s="1"/>
  <c r="I1346" i="1" a="1"/>
  <c r="I1346" i="1" s="1"/>
  <c r="F1354" i="1" a="1"/>
  <c r="F1354" i="1" s="1"/>
  <c r="K1353" i="1" a="1"/>
  <c r="K1353" i="1" s="1"/>
  <c r="J1353" i="1" a="1"/>
  <c r="J1353" i="1" s="1"/>
  <c r="I1353" i="1" a="1"/>
  <c r="I1353" i="1"/>
  <c r="I1351" i="1" a="1"/>
  <c r="I1351" i="1" s="1"/>
  <c r="K1345" i="1" a="1"/>
  <c r="K1345" i="1" s="1"/>
  <c r="F1336" i="1" a="1"/>
  <c r="F1336" i="1" s="1"/>
  <c r="J1335" i="1" a="1"/>
  <c r="J1335" i="1"/>
  <c r="G1332" i="1" a="1"/>
  <c r="G1332" i="1" s="1"/>
  <c r="G1337" i="1" a="1"/>
  <c r="G1337" i="1"/>
  <c r="F1337" i="1" a="1"/>
  <c r="F1337" i="1" s="1"/>
  <c r="F1335" i="1" a="1"/>
  <c r="F1335" i="1" s="1"/>
  <c r="I1334" i="1" a="1"/>
  <c r="I1334" i="1" s="1"/>
  <c r="H1332" i="1" a="1"/>
  <c r="H1332" i="1" s="1"/>
  <c r="H1333" i="1" a="1"/>
  <c r="H1333" i="1"/>
  <c r="H1331" i="1" a="1"/>
  <c r="H1331" i="1" s="1"/>
  <c r="H1338" i="1" a="1"/>
  <c r="H1338" i="1"/>
  <c r="K1333" i="1" a="1"/>
  <c r="K1333" i="1"/>
  <c r="F1332" i="1" a="1"/>
  <c r="F1332" i="1" s="1"/>
  <c r="I1333" i="1" a="1"/>
  <c r="I1333" i="1" s="1"/>
  <c r="H1330" i="1" a="1"/>
  <c r="H1330" i="1" s="1"/>
  <c r="J1333" i="1" a="1"/>
  <c r="J1333" i="1" s="1"/>
  <c r="K1332" i="1" a="1"/>
  <c r="K1332" i="1"/>
  <c r="K1335" i="1" a="1"/>
  <c r="K1335" i="1" s="1"/>
  <c r="K1337" i="1" a="1"/>
  <c r="K1337" i="1"/>
  <c r="H1337" i="1" a="1"/>
  <c r="H1337" i="1" s="1"/>
  <c r="F1333" i="1" a="1"/>
  <c r="F1333" i="1" s="1"/>
  <c r="J1338" i="1" a="1"/>
  <c r="J1338" i="1" s="1"/>
  <c r="K1331" i="1" a="1"/>
  <c r="K1331" i="1"/>
  <c r="J1330" i="1" a="1"/>
  <c r="J1330" i="1" s="1"/>
  <c r="K1338" i="1" a="1"/>
  <c r="K1338" i="1"/>
  <c r="J1337" i="1" a="1"/>
  <c r="J1337" i="1" s="1"/>
  <c r="I1335" i="1" a="1"/>
  <c r="I1335" i="1" s="1"/>
  <c r="I1336" i="1" a="1"/>
  <c r="I1336" i="1" s="1"/>
  <c r="I1330" i="1" a="1"/>
  <c r="I1330" i="1" s="1"/>
  <c r="G1333" i="1" a="1"/>
  <c r="G1333" i="1"/>
  <c r="G1334" i="1" a="1"/>
  <c r="G1334" i="1" s="1"/>
  <c r="K1334" i="1" a="1"/>
  <c r="K1334" i="1"/>
  <c r="J1331" i="1" a="1"/>
  <c r="J1331" i="1"/>
  <c r="H1335" i="1" a="1"/>
  <c r="H1335" i="1" s="1"/>
  <c r="I1338" i="1" a="1"/>
  <c r="I1338" i="1" s="1"/>
  <c r="G1338" i="1" a="1"/>
  <c r="G1338" i="1" s="1"/>
  <c r="J1332" i="1" a="1"/>
  <c r="J1332" i="1" s="1"/>
  <c r="F1338" i="1" a="1"/>
  <c r="F1338" i="1"/>
  <c r="I1337" i="1" a="1"/>
  <c r="I1337" i="1" s="1"/>
  <c r="K1336" i="1" a="1"/>
  <c r="K1336" i="1"/>
  <c r="J1334" i="1" a="1"/>
  <c r="J1334" i="1" s="1"/>
  <c r="H1336" i="1" a="1"/>
  <c r="H1336" i="1" s="1"/>
  <c r="F1334" i="1" a="1"/>
  <c r="F1334" i="1" s="1"/>
  <c r="F1331" i="1" a="1"/>
  <c r="F1331" i="1"/>
  <c r="G1331" i="1" a="1"/>
  <c r="G1331" i="1" s="1"/>
  <c r="I1331" i="1" a="1"/>
  <c r="I1331" i="1" s="1"/>
  <c r="K1330" i="1" a="1"/>
  <c r="K1330" i="1" s="1"/>
  <c r="J1336" i="1" a="1"/>
  <c r="J1336" i="1" s="1"/>
  <c r="H1334" i="1" a="1"/>
  <c r="H1334" i="1" s="1"/>
  <c r="I1332" i="1" a="1"/>
  <c r="I1332" i="1" s="1"/>
  <c r="G1336" i="1" a="1"/>
  <c r="G1336" i="1"/>
  <c r="G1335" i="1" a="1"/>
  <c r="G1335" i="1" s="1"/>
  <c r="I1324" i="1" a="1"/>
  <c r="I1324" i="1"/>
  <c r="I1318" i="1" a="1"/>
  <c r="I1318" i="1"/>
  <c r="F1317" i="1" a="1"/>
  <c r="F1317" i="1" s="1"/>
  <c r="K1321" i="1" a="1"/>
  <c r="K1321" i="1" s="1"/>
  <c r="G1323" i="1" a="1"/>
  <c r="G1323" i="1"/>
  <c r="I1319" i="1" a="1"/>
  <c r="I1319" i="1" s="1"/>
  <c r="F1319" i="1" a="1"/>
  <c r="F1319" i="1"/>
  <c r="K1316" i="1" a="1"/>
  <c r="K1316" i="1" s="1"/>
  <c r="H1323" i="1" a="1"/>
  <c r="H1323" i="1"/>
  <c r="G1322" i="1" a="1"/>
  <c r="G1322" i="1" s="1"/>
  <c r="I1316" i="1" a="1"/>
  <c r="I1316" i="1" s="1"/>
  <c r="J1324" i="1" a="1"/>
  <c r="J1324" i="1" s="1"/>
  <c r="I1322" i="1" a="1"/>
  <c r="I1322" i="1"/>
  <c r="F1318" i="1" a="1"/>
  <c r="F1318" i="1" s="1"/>
  <c r="J1317" i="1" a="1"/>
  <c r="J1317" i="1" s="1"/>
  <c r="K1322" i="1" a="1"/>
  <c r="K1322" i="1" s="1"/>
  <c r="G1321" i="1" a="1"/>
  <c r="G1321" i="1" s="1"/>
  <c r="G1317" i="1" a="1"/>
  <c r="G1317" i="1" s="1"/>
  <c r="F1316" i="1" a="1"/>
  <c r="F1316" i="1" s="1"/>
  <c r="J1319" i="1" a="1"/>
  <c r="J1319" i="1"/>
  <c r="G1319" i="1" a="1"/>
  <c r="G1319" i="1" s="1"/>
  <c r="J1318" i="1" a="1"/>
  <c r="J1318" i="1"/>
  <c r="H1317" i="1" a="1"/>
  <c r="H1317" i="1"/>
  <c r="G1316" i="1" a="1"/>
  <c r="G1316" i="1" s="1"/>
  <c r="F1321" i="1" a="1"/>
  <c r="F1321" i="1" s="1"/>
  <c r="I1321" i="1" a="1"/>
  <c r="I1321" i="1"/>
  <c r="H1322" i="1" a="1"/>
  <c r="H1322" i="1" s="1"/>
  <c r="J1316" i="1" a="1"/>
  <c r="J1316" i="1"/>
  <c r="I1323" i="1" a="1"/>
  <c r="I1323" i="1" s="1"/>
  <c r="K1319" i="1" a="1"/>
  <c r="K1319" i="1"/>
  <c r="F1322" i="1" a="1"/>
  <c r="F1322" i="1" s="1"/>
  <c r="H1316" i="1" a="1"/>
  <c r="H1316" i="1" s="1"/>
  <c r="F1324" i="1" a="1"/>
  <c r="F1324" i="1" s="1"/>
  <c r="J1321" i="1" a="1"/>
  <c r="J1321" i="1" s="1"/>
  <c r="K1317" i="1" a="1"/>
  <c r="K1317" i="1" s="1"/>
  <c r="H1321" i="1" a="1"/>
  <c r="H1321" i="1" s="1"/>
  <c r="H1319" i="1" a="1"/>
  <c r="H1319" i="1" s="1"/>
  <c r="I1317" i="1" a="1"/>
  <c r="I1317" i="1" s="1"/>
  <c r="J1323" i="1" a="1"/>
  <c r="J1323" i="1" s="1"/>
  <c r="K1324" i="1" a="1"/>
  <c r="K1324" i="1" s="1"/>
  <c r="K1318" i="1" a="1"/>
  <c r="K1318" i="1"/>
  <c r="G1330" i="1" a="1"/>
  <c r="G1330" i="1" s="1"/>
  <c r="K1323" i="1" a="1"/>
  <c r="K1323" i="1"/>
  <c r="F1330" i="1" a="1"/>
  <c r="F1330" i="1" s="1"/>
  <c r="F1323" i="1" a="1"/>
  <c r="F1323" i="1"/>
  <c r="G1324" i="1" a="1"/>
  <c r="G1324" i="1" s="1"/>
  <c r="J1322" i="1" a="1"/>
  <c r="J1322" i="1"/>
  <c r="G1318" i="1" a="1"/>
  <c r="G1318" i="1" s="1"/>
  <c r="H1324" i="1" a="1"/>
  <c r="H1324" i="1"/>
  <c r="H1318" i="1" a="1"/>
  <c r="H1318" i="1" s="1"/>
  <c r="G1258" i="1" a="1"/>
  <c r="G1258" i="1"/>
  <c r="G1261" i="1" a="1"/>
  <c r="G1261" i="1" s="1"/>
  <c r="F1261" i="1" a="1"/>
  <c r="F1261" i="1" s="1"/>
  <c r="G1257" i="1" a="1"/>
  <c r="G1257" i="1" s="1"/>
  <c r="J1260" i="1" a="1"/>
  <c r="J1260" i="1"/>
  <c r="I1256" i="1" a="1"/>
  <c r="I1256" i="1" s="1"/>
  <c r="F1256" i="1" a="1"/>
  <c r="F1256" i="1" s="1"/>
  <c r="H1259" i="1" a="1"/>
  <c r="H1259" i="1" s="1"/>
  <c r="K1255" i="1" a="1"/>
  <c r="K1255" i="1" s="1"/>
  <c r="H1260" i="1" a="1"/>
  <c r="H1260" i="1" s="1"/>
  <c r="K1258" i="1" a="1"/>
  <c r="K1258" i="1" s="1"/>
  <c r="K1261" i="1" a="1"/>
  <c r="K1261" i="1"/>
  <c r="K1257" i="1" a="1"/>
  <c r="K1257" i="1" s="1"/>
  <c r="J1259" i="1" a="1"/>
  <c r="J1259" i="1" s="1"/>
  <c r="J1261" i="1" a="1"/>
  <c r="J1261" i="1" s="1"/>
  <c r="F1260" i="1" a="1"/>
  <c r="F1260" i="1"/>
  <c r="J1256" i="1" a="1"/>
  <c r="J1256" i="1" s="1"/>
  <c r="G1256" i="1" a="1"/>
  <c r="G1256" i="1"/>
  <c r="H1258" i="1" a="1"/>
  <c r="H1258" i="1" s="1"/>
  <c r="G1259" i="1" a="1"/>
  <c r="G1259" i="1"/>
  <c r="I1260" i="1" a="1"/>
  <c r="I1260" i="1" s="1"/>
  <c r="F1258" i="1" a="1"/>
  <c r="F1258" i="1"/>
  <c r="H1257" i="1" a="1"/>
  <c r="H1257" i="1" s="1"/>
  <c r="I1258" i="1" a="1"/>
  <c r="I1258" i="1" s="1"/>
  <c r="K1256" i="1" a="1"/>
  <c r="K1256" i="1"/>
  <c r="I1261" i="1" a="1"/>
  <c r="I1261" i="1"/>
  <c r="G1260" i="1" a="1"/>
  <c r="G1260" i="1" s="1"/>
  <c r="I1259" i="1" a="1"/>
  <c r="I1259" i="1" s="1"/>
  <c r="H1261" i="1" a="1"/>
  <c r="H1261" i="1" s="1"/>
  <c r="J1258" i="1" a="1"/>
  <c r="J1258" i="1" s="1"/>
  <c r="J1257" i="1" a="1"/>
  <c r="J1257" i="1" s="1"/>
  <c r="H1256" i="1" a="1"/>
  <c r="H1256" i="1" s="1"/>
  <c r="F1259" i="1" a="1"/>
  <c r="F1259" i="1"/>
  <c r="K1315" i="1" a="1"/>
  <c r="K1315" i="1" s="1"/>
  <c r="J1315" i="1" a="1"/>
  <c r="J1315" i="1" s="1"/>
  <c r="I1315" i="1" a="1"/>
  <c r="I1315" i="1" s="1"/>
  <c r="H1315" i="1" a="1"/>
  <c r="H1315" i="1"/>
  <c r="G1315" i="1" a="1"/>
  <c r="G1315" i="1" s="1"/>
  <c r="K1259" i="1" a="1"/>
  <c r="K1259" i="1"/>
  <c r="F1315" i="1" a="1"/>
  <c r="F1315" i="1" s="1"/>
  <c r="K1260" i="1" a="1"/>
  <c r="K1260" i="1"/>
  <c r="F1257" i="1" a="1"/>
  <c r="F1257" i="1" s="1"/>
  <c r="I1257" i="1" a="1"/>
  <c r="I1257" i="1"/>
  <c r="H1245" i="1" a="1"/>
  <c r="H1245" i="1" s="1"/>
  <c r="I1250" i="1" a="1"/>
  <c r="I1250" i="1" s="1"/>
  <c r="I1249" i="1" a="1"/>
  <c r="I1249" i="1"/>
  <c r="G1247" i="1" a="1"/>
  <c r="G1247" i="1"/>
  <c r="I1246" i="1" a="1"/>
  <c r="I1246" i="1" s="1"/>
  <c r="H1250" i="1" a="1"/>
  <c r="H1250" i="1" s="1"/>
  <c r="K1245" i="1" a="1"/>
  <c r="K1245" i="1" s="1"/>
  <c r="H1255" i="1" a="1"/>
  <c r="H1255" i="1" s="1"/>
  <c r="H1254" i="1" a="1"/>
  <c r="H1254" i="1" s="1"/>
  <c r="J1253" i="1" a="1"/>
  <c r="J1253" i="1" s="1"/>
  <c r="J1251" i="1" a="1"/>
  <c r="J1251" i="1" s="1"/>
  <c r="F1250" i="1" a="1"/>
  <c r="F1250" i="1" s="1"/>
  <c r="H1247" i="1" a="1"/>
  <c r="H1247" i="1" s="1"/>
  <c r="I1245" i="1" a="1"/>
  <c r="I1245" i="1" s="1"/>
  <c r="K1253" i="1" a="1"/>
  <c r="K1253" i="1"/>
  <c r="F1253" i="1" a="1"/>
  <c r="F1253" i="1" s="1"/>
  <c r="F1248" i="1" a="1"/>
  <c r="F1248" i="1"/>
  <c r="F1247" i="1" a="1"/>
  <c r="F1247" i="1" s="1"/>
  <c r="J1248" i="1" a="1"/>
  <c r="J1248" i="1"/>
  <c r="H1248" i="1" a="1"/>
  <c r="H1248" i="1" s="1"/>
  <c r="J1249" i="1" a="1"/>
  <c r="J1249" i="1" s="1"/>
  <c r="F1255" i="1" a="1"/>
  <c r="F1255" i="1"/>
  <c r="H1253" i="1" a="1"/>
  <c r="H1253" i="1" s="1"/>
  <c r="F1252" i="1" a="1"/>
  <c r="F1252" i="1"/>
  <c r="F1246" i="1" a="1"/>
  <c r="F1246" i="1"/>
  <c r="H1251" i="1" a="1"/>
  <c r="H1251" i="1" s="1"/>
  <c r="J1247" i="1" a="1"/>
  <c r="J1247" i="1" s="1"/>
  <c r="J1255" i="1" a="1"/>
  <c r="J1255" i="1" s="1"/>
  <c r="G1255" i="1" a="1"/>
  <c r="G1255" i="1" s="1"/>
  <c r="G1252" i="1" a="1"/>
  <c r="G1252" i="1" s="1"/>
  <c r="G1251" i="1" a="1"/>
  <c r="G1251" i="1" s="1"/>
  <c r="G1249" i="1" a="1"/>
  <c r="G1249" i="1"/>
  <c r="K1247" i="1" a="1"/>
  <c r="K1247" i="1" s="1"/>
  <c r="H1246" i="1" a="1"/>
  <c r="H1246" i="1" s="1"/>
  <c r="I1252" i="1" a="1"/>
  <c r="I1252" i="1" s="1"/>
  <c r="G1248" i="1" a="1"/>
  <c r="G1248" i="1"/>
  <c r="J1246" i="1" a="1"/>
  <c r="J1246" i="1" s="1"/>
  <c r="F1251" i="1" a="1"/>
  <c r="F1251" i="1"/>
  <c r="G1246" i="1" a="1"/>
  <c r="G1246" i="1" s="1"/>
  <c r="G1254" i="1" a="1"/>
  <c r="G1254" i="1"/>
  <c r="K1251" i="1" a="1"/>
  <c r="K1251" i="1" s="1"/>
  <c r="I1251" i="1" a="1"/>
  <c r="I1251" i="1" s="1"/>
  <c r="I1255" i="1" a="1"/>
  <c r="I1255" i="1"/>
  <c r="I1253" i="1" a="1"/>
  <c r="I1253" i="1" s="1"/>
  <c r="K1254" i="1" a="1"/>
  <c r="K1254" i="1"/>
  <c r="J1254" i="1" a="1"/>
  <c r="J1254" i="1"/>
  <c r="I1254" i="1" a="1"/>
  <c r="I1254" i="1" s="1"/>
  <c r="F1254" i="1" a="1"/>
  <c r="F1254" i="1" s="1"/>
  <c r="I1247" i="1" a="1"/>
  <c r="I1247" i="1" s="1"/>
  <c r="G1253" i="1" a="1"/>
  <c r="G1253" i="1" s="1"/>
  <c r="H1249" i="1" a="1"/>
  <c r="H1249" i="1" s="1"/>
  <c r="K1248" i="1" a="1"/>
  <c r="K1248" i="1" s="1"/>
  <c r="K1252" i="1" a="1"/>
  <c r="K1252" i="1"/>
  <c r="J1252" i="1" a="1"/>
  <c r="J1252" i="1" s="1"/>
  <c r="H1252" i="1" a="1"/>
  <c r="H1252" i="1" s="1"/>
  <c r="G1250" i="1" a="1"/>
  <c r="G1250" i="1" s="1"/>
  <c r="J1245" i="1" a="1"/>
  <c r="J1245" i="1"/>
  <c r="K1249" i="1" a="1"/>
  <c r="K1249" i="1" s="1"/>
  <c r="I1248" i="1" a="1"/>
  <c r="I1248" i="1"/>
  <c r="K1250" i="1" a="1"/>
  <c r="K1250" i="1" s="1"/>
  <c r="J1250" i="1" a="1"/>
  <c r="J1250" i="1" s="1"/>
  <c r="F1249" i="1" a="1"/>
  <c r="F1249" i="1" s="1"/>
  <c r="K1246" i="1" a="1"/>
  <c r="K1246" i="1" s="1"/>
  <c r="G1245" i="1" a="1"/>
  <c r="G1245" i="1"/>
  <c r="K1244" i="1" a="1"/>
  <c r="K1244" i="1" s="1"/>
  <c r="K1238" i="1" a="1"/>
  <c r="K1238" i="1"/>
  <c r="J1244" i="1" a="1"/>
  <c r="J1244" i="1"/>
  <c r="G1241" i="1" a="1"/>
  <c r="G1241" i="1" s="1"/>
  <c r="I1244" i="1" a="1"/>
  <c r="I1244" i="1" s="1"/>
  <c r="H1244" i="1" a="1"/>
  <c r="H1244" i="1" s="1"/>
  <c r="K1237" i="1" a="1"/>
  <c r="K1237" i="1" s="1"/>
  <c r="F1235" i="1" a="1"/>
  <c r="F1235" i="1"/>
  <c r="K1236" i="1" a="1"/>
  <c r="K1236" i="1" s="1"/>
  <c r="K1242" i="1" a="1"/>
  <c r="K1242" i="1"/>
  <c r="G1240" i="1" a="1"/>
  <c r="G1240" i="1" s="1"/>
  <c r="J1243" i="1" a="1"/>
  <c r="J1243" i="1" s="1"/>
  <c r="F1237" i="1" a="1"/>
  <c r="F1237" i="1" s="1"/>
  <c r="G1235" i="1" a="1"/>
  <c r="G1235" i="1"/>
  <c r="J1242" i="1" a="1"/>
  <c r="J1242" i="1" s="1"/>
  <c r="K1235" i="1" a="1"/>
  <c r="K1235" i="1"/>
  <c r="I1239" i="1" a="1"/>
  <c r="I1239" i="1" s="1"/>
  <c r="H1241" i="1" a="1"/>
  <c r="H1241" i="1" s="1"/>
  <c r="K1240" i="1" a="1"/>
  <c r="K1240" i="1" s="1"/>
  <c r="J1234" i="1" a="1"/>
  <c r="J1234" i="1" s="1"/>
  <c r="I1236" i="1" a="1"/>
  <c r="I1236" i="1"/>
  <c r="G1238" i="1" a="1"/>
  <c r="G1238" i="1" s="1"/>
  <c r="G1244" i="1" a="1"/>
  <c r="G1244" i="1"/>
  <c r="F1244" i="1" a="1"/>
  <c r="F1244" i="1"/>
  <c r="H1243" i="1" a="1"/>
  <c r="H1243" i="1" s="1"/>
  <c r="G1239" i="1" a="1"/>
  <c r="G1239" i="1" s="1"/>
  <c r="H1237" i="1" a="1"/>
  <c r="H1237" i="1" s="1"/>
  <c r="F1242" i="1" a="1"/>
  <c r="F1242" i="1" s="1"/>
  <c r="H1236" i="1" a="1"/>
  <c r="H1236" i="1"/>
  <c r="K1239" i="1" a="1"/>
  <c r="K1239" i="1" s="1"/>
  <c r="J1241" i="1" a="1"/>
  <c r="J1241" i="1"/>
  <c r="K1243" i="1" a="1"/>
  <c r="K1243" i="1" s="1"/>
  <c r="I1243" i="1" a="1"/>
  <c r="I1243" i="1" s="1"/>
  <c r="G1243" i="1" a="1"/>
  <c r="G1243" i="1" s="1"/>
  <c r="F1243" i="1" a="1"/>
  <c r="F1243" i="1"/>
  <c r="K1241" i="1" a="1"/>
  <c r="K1241" i="1" s="1"/>
  <c r="I1238" i="1" a="1"/>
  <c r="I1238" i="1" s="1"/>
  <c r="H1235" i="1" a="1"/>
  <c r="H1235" i="1" s="1"/>
  <c r="I1234" i="1" a="1"/>
  <c r="I1234" i="1" s="1"/>
  <c r="I1242" i="1" a="1"/>
  <c r="I1242" i="1" s="1"/>
  <c r="I1241" i="1" a="1"/>
  <c r="I1241" i="1" s="1"/>
  <c r="J1240" i="1" a="1"/>
  <c r="J1240" i="1"/>
  <c r="G1237" i="1" a="1"/>
  <c r="G1237" i="1" s="1"/>
  <c r="H1239" i="1" a="1"/>
  <c r="H1239" i="1"/>
  <c r="F1238" i="1" a="1"/>
  <c r="F1238" i="1"/>
  <c r="F1236" i="1" a="1"/>
  <c r="F1236" i="1" s="1"/>
  <c r="G1236" i="1" a="1"/>
  <c r="G1236" i="1" s="1"/>
  <c r="I1235" i="1" a="1"/>
  <c r="I1235" i="1"/>
  <c r="H1242" i="1" a="1"/>
  <c r="H1242" i="1" s="1"/>
  <c r="G1242" i="1" a="1"/>
  <c r="G1242" i="1"/>
  <c r="H1238" i="1" a="1"/>
  <c r="H1238" i="1" s="1"/>
  <c r="J1235" i="1" a="1"/>
  <c r="J1235" i="1"/>
  <c r="J1236" i="1" a="1"/>
  <c r="J1236" i="1" s="1"/>
  <c r="I1240" i="1" a="1"/>
  <c r="I1240" i="1" s="1"/>
  <c r="J1237" i="1" a="1"/>
  <c r="J1237" i="1" s="1"/>
  <c r="I1237" i="1" a="1"/>
  <c r="I1237" i="1"/>
  <c r="J1239" i="1" a="1"/>
  <c r="J1239" i="1" s="1"/>
  <c r="F1239" i="1" a="1"/>
  <c r="F1239" i="1" s="1"/>
  <c r="K1234" i="1" a="1"/>
  <c r="K1234" i="1" s="1"/>
  <c r="H1240" i="1" a="1"/>
  <c r="H1240" i="1" s="1"/>
  <c r="J1238" i="1" a="1"/>
  <c r="J1238" i="1" s="1"/>
  <c r="F1240" i="1" a="1"/>
  <c r="F1240" i="1" s="1"/>
  <c r="F1245" i="1" a="1"/>
  <c r="F1245" i="1"/>
  <c r="F1241" i="1" a="1"/>
  <c r="F1241" i="1" s="1"/>
  <c r="H1227" i="1" a="1"/>
  <c r="H1227" i="1"/>
  <c r="F1226" i="1" a="1"/>
  <c r="F1226" i="1"/>
  <c r="K1225" i="1" a="1"/>
  <c r="K1225" i="1" s="1"/>
  <c r="G1224" i="1" a="1"/>
  <c r="G1224" i="1" s="1"/>
  <c r="K1232" i="1" a="1"/>
  <c r="K1232" i="1"/>
  <c r="J1232" i="1" a="1"/>
  <c r="J1232" i="1" s="1"/>
  <c r="H1232" i="1" a="1"/>
  <c r="H1232" i="1"/>
  <c r="F1229" i="1" a="1"/>
  <c r="F1229" i="1" s="1"/>
  <c r="K1223" i="1" a="1"/>
  <c r="K1223" i="1"/>
  <c r="G1232" i="1" a="1"/>
  <c r="G1232" i="1" s="1"/>
  <c r="I1228" i="1" a="1"/>
  <c r="I1228" i="1" s="1"/>
  <c r="J1227" i="1" a="1"/>
  <c r="J1227" i="1" s="1"/>
  <c r="H1224" i="1" a="1"/>
  <c r="H1224" i="1" s="1"/>
  <c r="G1226" i="1" a="1"/>
  <c r="G1226" i="1" s="1"/>
  <c r="F1232" i="1" a="1"/>
  <c r="F1232" i="1" s="1"/>
  <c r="K1231" i="1" a="1"/>
  <c r="K1231" i="1" s="1"/>
  <c r="I1229" i="1" a="1"/>
  <c r="I1229" i="1" s="1"/>
  <c r="F1224" i="1" a="1"/>
  <c r="F1224" i="1" s="1"/>
  <c r="I1231" i="1" a="1"/>
  <c r="I1231" i="1" s="1"/>
  <c r="H1231" i="1" a="1"/>
  <c r="H1231" i="1"/>
  <c r="G1229" i="1" a="1"/>
  <c r="G1229" i="1" s="1"/>
  <c r="H1230" i="1" a="1"/>
  <c r="H1230" i="1"/>
  <c r="K1228" i="1" a="1"/>
  <c r="K1228" i="1" s="1"/>
  <c r="I1226" i="1" a="1"/>
  <c r="I1226" i="1"/>
  <c r="I1224" i="1" a="1"/>
  <c r="I1224" i="1" s="1"/>
  <c r="J1231" i="1" a="1"/>
  <c r="J1231" i="1"/>
  <c r="G1225" i="1" a="1"/>
  <c r="G1225" i="1" s="1"/>
  <c r="J1230" i="1" a="1"/>
  <c r="J1230" i="1"/>
  <c r="K1229" i="1" a="1"/>
  <c r="K1229" i="1" s="1"/>
  <c r="J1228" i="1" a="1"/>
  <c r="J1228" i="1"/>
  <c r="K1227" i="1" a="1"/>
  <c r="K1227" i="1" s="1"/>
  <c r="K1226" i="1" a="1"/>
  <c r="K1226" i="1" s="1"/>
  <c r="H1226" i="1" a="1"/>
  <c r="H1226" i="1" s="1"/>
  <c r="K1224" i="1" a="1"/>
  <c r="K1224" i="1"/>
  <c r="J1225" i="1" a="1"/>
  <c r="J1225" i="1" s="1"/>
  <c r="F1231" i="1" a="1"/>
  <c r="F1231" i="1" s="1"/>
  <c r="K1230" i="1" a="1"/>
  <c r="K1230" i="1" s="1"/>
  <c r="H1229" i="1" a="1"/>
  <c r="H1229" i="1" s="1"/>
  <c r="J1224" i="1" a="1"/>
  <c r="J1224" i="1" s="1"/>
  <c r="F1227" i="1" a="1"/>
  <c r="F1227" i="1" s="1"/>
  <c r="G1231" i="1" a="1"/>
  <c r="G1231" i="1"/>
  <c r="I1230" i="1" a="1"/>
  <c r="I1230" i="1" s="1"/>
  <c r="I1225" i="1" a="1"/>
  <c r="I1225" i="1" s="1"/>
  <c r="F1230" i="1" a="1"/>
  <c r="F1230" i="1" s="1"/>
  <c r="G1228" i="1" a="1"/>
  <c r="G1228" i="1"/>
  <c r="F1225" i="1" a="1"/>
  <c r="F1225" i="1" s="1"/>
  <c r="J1226" i="1" a="1"/>
  <c r="J1226" i="1"/>
  <c r="H1233" i="1" a="1"/>
  <c r="H1233" i="1" s="1"/>
  <c r="G1227" i="1" a="1"/>
  <c r="G1227" i="1"/>
  <c r="H1234" i="1" a="1"/>
  <c r="H1234" i="1" s="1"/>
  <c r="I1232" i="1" a="1"/>
  <c r="I1232" i="1"/>
  <c r="G1234" i="1" a="1"/>
  <c r="G1234" i="1" s="1"/>
  <c r="F1234" i="1" a="1"/>
  <c r="F1234" i="1" s="1"/>
  <c r="K1233" i="1" a="1"/>
  <c r="K1233" i="1"/>
  <c r="J1233" i="1" a="1"/>
  <c r="J1233" i="1"/>
  <c r="I1233" i="1" a="1"/>
  <c r="I1233" i="1" s="1"/>
  <c r="G1233" i="1" a="1"/>
  <c r="G1233" i="1" s="1"/>
  <c r="J1229" i="1" a="1"/>
  <c r="J1229" i="1" s="1"/>
  <c r="F1233" i="1" a="1"/>
  <c r="F1233" i="1" s="1"/>
  <c r="G1230" i="1" a="1"/>
  <c r="G1230" i="1" s="1"/>
  <c r="I1227" i="1" a="1"/>
  <c r="I1227" i="1" s="1"/>
  <c r="H1228" i="1" a="1"/>
  <c r="H1228" i="1"/>
  <c r="F1228" i="1" a="1"/>
  <c r="F1228" i="1" s="1"/>
  <c r="H1225" i="1" a="1"/>
  <c r="H1225" i="1" s="1"/>
  <c r="J1216" i="1" a="1"/>
  <c r="J1216" i="1" s="1"/>
  <c r="K1218" i="1" a="1"/>
  <c r="K1218" i="1"/>
  <c r="F1223" i="1" a="1"/>
  <c r="F1223" i="1" s="1"/>
  <c r="K1222" i="1" a="1"/>
  <c r="K1222" i="1"/>
  <c r="F1221" i="1" a="1"/>
  <c r="F1221" i="1" s="1"/>
  <c r="J1222" i="1" a="1"/>
  <c r="J1222" i="1"/>
  <c r="J1221" i="1" a="1"/>
  <c r="J1221" i="1" s="1"/>
  <c r="I1215" i="1" a="1"/>
  <c r="I1215" i="1"/>
  <c r="I1219" i="1" a="1"/>
  <c r="I1219" i="1" s="1"/>
  <c r="H1218" i="1" a="1"/>
  <c r="H1218" i="1" s="1"/>
  <c r="I1217" i="1" a="1"/>
  <c r="I1217" i="1"/>
  <c r="G1222" i="1" a="1"/>
  <c r="G1222" i="1"/>
  <c r="F1220" i="1" a="1"/>
  <c r="F1220" i="1" s="1"/>
  <c r="I1218" i="1" a="1"/>
  <c r="I1218" i="1" s="1"/>
  <c r="K1214" i="1" a="1"/>
  <c r="K1214" i="1" s="1"/>
  <c r="F1222" i="1" a="1"/>
  <c r="F1222" i="1" s="1"/>
  <c r="I1216" i="1" a="1"/>
  <c r="I1216" i="1" s="1"/>
  <c r="G1221" i="1" a="1"/>
  <c r="G1221" i="1" s="1"/>
  <c r="I1214" i="1" a="1"/>
  <c r="I1214" i="1" s="1"/>
  <c r="J1219" i="1" a="1"/>
  <c r="J1219" i="1" s="1"/>
  <c r="G1220" i="1" a="1"/>
  <c r="G1220" i="1" s="1"/>
  <c r="H1216" i="1" a="1"/>
  <c r="H1216" i="1" s="1"/>
  <c r="G1214" i="1" a="1"/>
  <c r="G1214" i="1"/>
  <c r="F1219" i="1" a="1"/>
  <c r="F1219" i="1" s="1"/>
  <c r="F1218" i="1" a="1"/>
  <c r="F1218" i="1"/>
  <c r="J1218" i="1" a="1"/>
  <c r="J1218" i="1" s="1"/>
  <c r="J1214" i="1" a="1"/>
  <c r="J1214" i="1"/>
  <c r="I1222" i="1" a="1"/>
  <c r="I1222" i="1" s="1"/>
  <c r="K1216" i="1" a="1"/>
  <c r="K1216" i="1" s="1"/>
  <c r="F1215" i="1" a="1"/>
  <c r="F1215" i="1"/>
  <c r="G1216" i="1" a="1"/>
  <c r="G1216" i="1" s="1"/>
  <c r="F1214" i="1" a="1"/>
  <c r="F1214" i="1"/>
  <c r="J1220" i="1" a="1"/>
  <c r="J1220" i="1"/>
  <c r="G1217" i="1" a="1"/>
  <c r="G1217" i="1" s="1"/>
  <c r="J1215" i="1" a="1"/>
  <c r="J1215" i="1" s="1"/>
  <c r="G1215" i="1" a="1"/>
  <c r="G1215" i="1" s="1"/>
  <c r="J1213" i="1" a="1"/>
  <c r="J1213" i="1" s="1"/>
  <c r="K1221" i="1" a="1"/>
  <c r="K1221" i="1" s="1"/>
  <c r="F1216" i="1" a="1"/>
  <c r="F1216" i="1" s="1"/>
  <c r="G1223" i="1" a="1"/>
  <c r="G1223" i="1"/>
  <c r="I1220" i="1" a="1"/>
  <c r="I1220" i="1" s="1"/>
  <c r="J1217" i="1" a="1"/>
  <c r="J1217" i="1" s="1"/>
  <c r="H1217" i="1" a="1"/>
  <c r="H1217" i="1" s="1"/>
  <c r="H1221" i="1" a="1"/>
  <c r="H1221" i="1"/>
  <c r="H1214" i="1" a="1"/>
  <c r="H1214" i="1" s="1"/>
  <c r="I1223" i="1" a="1"/>
  <c r="I1223" i="1"/>
  <c r="K1220" i="1" a="1"/>
  <c r="K1220" i="1" s="1"/>
  <c r="F1217" i="1" a="1"/>
  <c r="F1217" i="1"/>
  <c r="I1213" i="1" a="1"/>
  <c r="I1213" i="1" s="1"/>
  <c r="K1219" i="1" a="1"/>
  <c r="K1219" i="1" s="1"/>
  <c r="K1215" i="1" a="1"/>
  <c r="K1215" i="1"/>
  <c r="H1219" i="1" a="1"/>
  <c r="H1219" i="1" s="1"/>
  <c r="G1219" i="1" a="1"/>
  <c r="G1219" i="1"/>
  <c r="G1218" i="1" a="1"/>
  <c r="G1218" i="1"/>
  <c r="J1223" i="1" a="1"/>
  <c r="J1223" i="1" s="1"/>
  <c r="H1223" i="1" a="1"/>
  <c r="H1223" i="1" s="1"/>
  <c r="I1221" i="1" a="1"/>
  <c r="I1221" i="1" s="1"/>
  <c r="K1217" i="1" a="1"/>
  <c r="K1217" i="1" s="1"/>
  <c r="K1213" i="1" a="1"/>
  <c r="K1213" i="1" s="1"/>
  <c r="H1215" i="1" a="1"/>
  <c r="H1215" i="1" s="1"/>
  <c r="H1222" i="1" a="1"/>
  <c r="H1222" i="1"/>
  <c r="H1220" i="1" a="1"/>
  <c r="H1220" i="1" s="1"/>
  <c r="J1212" i="1" a="1"/>
  <c r="J1212" i="1"/>
  <c r="I1210" i="1" a="1"/>
  <c r="I1210" i="1" s="1"/>
  <c r="G1212" i="1" a="1"/>
  <c r="G1212" i="1"/>
  <c r="K1210" i="1" a="1"/>
  <c r="K1210" i="1" s="1"/>
  <c r="F1212" i="1" a="1"/>
  <c r="F1212" i="1"/>
  <c r="F1207" i="1" a="1"/>
  <c r="F1207" i="1" s="1"/>
  <c r="G1206" i="1" a="1"/>
  <c r="G1206" i="1" s="1"/>
  <c r="J1210" i="1" a="1"/>
  <c r="J1210" i="1" s="1"/>
  <c r="I1208" i="1" a="1"/>
  <c r="I1208" i="1" s="1"/>
  <c r="K1209" i="1" a="1"/>
  <c r="K1209" i="1"/>
  <c r="I1209" i="1" a="1"/>
  <c r="I1209" i="1" s="1"/>
  <c r="H1209" i="1" a="1"/>
  <c r="H1209" i="1"/>
  <c r="K1208" i="1" a="1"/>
  <c r="K1208" i="1"/>
  <c r="J1208" i="1" a="1"/>
  <c r="J1208" i="1" s="1"/>
  <c r="G1208" i="1" a="1"/>
  <c r="G1208" i="1" s="1"/>
  <c r="I1207" i="1" a="1"/>
  <c r="I1207" i="1" s="1"/>
  <c r="H1199" i="1" a="1"/>
  <c r="H1199" i="1" s="1"/>
  <c r="H1206" i="1" a="1"/>
  <c r="H1206" i="1"/>
  <c r="F1200" i="1" a="1"/>
  <c r="F1200" i="1" s="1"/>
  <c r="F1206" i="1" a="1"/>
  <c r="F1206" i="1"/>
  <c r="G1207" i="1" a="1"/>
  <c r="G1207" i="1" s="1"/>
  <c r="K1200" i="1" a="1"/>
  <c r="K1200" i="1"/>
  <c r="H1200" i="1" a="1"/>
  <c r="H1200" i="1" s="1"/>
  <c r="J1206" i="1" a="1"/>
  <c r="J1206" i="1"/>
  <c r="J1199" i="1" a="1"/>
  <c r="J1199" i="1" s="1"/>
  <c r="I1206" i="1" a="1"/>
  <c r="I1206" i="1"/>
  <c r="J1200" i="1" a="1"/>
  <c r="J1200" i="1" s="1"/>
  <c r="I1199" i="1" a="1"/>
  <c r="I1199" i="1" s="1"/>
  <c r="H1208" i="1" a="1"/>
  <c r="H1208" i="1" s="1"/>
  <c r="K1207" i="1" a="1"/>
  <c r="K1207" i="1" s="1"/>
  <c r="H1212" i="1" a="1"/>
  <c r="H1212" i="1"/>
  <c r="F1210" i="1" a="1"/>
  <c r="F1210" i="1" s="1"/>
  <c r="K1206" i="1" a="1"/>
  <c r="K1206" i="1"/>
  <c r="J1209" i="1" a="1"/>
  <c r="J1209" i="1"/>
  <c r="H1207" i="1" a="1"/>
  <c r="H1207" i="1" s="1"/>
  <c r="G1200" i="1" a="1"/>
  <c r="G1200" i="1" s="1"/>
  <c r="H1213" i="1" a="1"/>
  <c r="H1213" i="1" s="1"/>
  <c r="G1213" i="1" a="1"/>
  <c r="G1213" i="1" s="1"/>
  <c r="J1207" i="1" a="1"/>
  <c r="J1207" i="1"/>
  <c r="F1213" i="1" a="1"/>
  <c r="F1213" i="1" s="1"/>
  <c r="H1210" i="1" a="1"/>
  <c r="H1210" i="1"/>
  <c r="G1209" i="1" a="1"/>
  <c r="G1209" i="1" s="1"/>
  <c r="F1209" i="1" a="1"/>
  <c r="F1209" i="1"/>
  <c r="I1200" i="1" a="1"/>
  <c r="I1200" i="1" s="1"/>
  <c r="F1208" i="1" a="1"/>
  <c r="F1208" i="1"/>
  <c r="K1199" i="1" a="1"/>
  <c r="K1199" i="1"/>
  <c r="G1210" i="1" a="1"/>
  <c r="G1210" i="1" s="1"/>
  <c r="K1212" i="1" a="1"/>
  <c r="K1212" i="1" s="1"/>
  <c r="I1212" i="1" a="1"/>
  <c r="I1212" i="1" s="1"/>
  <c r="K1197" i="1" a="1"/>
  <c r="K1197" i="1" s="1"/>
  <c r="G1197" i="1" a="1"/>
  <c r="G1197" i="1" s="1"/>
  <c r="K1196" i="1" a="1"/>
  <c r="K1196" i="1"/>
  <c r="H1190" i="1" a="1"/>
  <c r="H1190" i="1" s="1"/>
  <c r="I1196" i="1" a="1"/>
  <c r="I1196" i="1"/>
  <c r="G1194" i="1" a="1"/>
  <c r="G1194" i="1"/>
  <c r="G1190" i="1" a="1"/>
  <c r="G1190" i="1" s="1"/>
  <c r="J1188" i="1" a="1"/>
  <c r="J1188" i="1" s="1"/>
  <c r="H1189" i="1" a="1"/>
  <c r="H1189" i="1"/>
  <c r="J1193" i="1" a="1"/>
  <c r="J1193" i="1" s="1"/>
  <c r="K1190" i="1" a="1"/>
  <c r="K1190" i="1"/>
  <c r="G1193" i="1" a="1"/>
  <c r="G1193" i="1" s="1"/>
  <c r="H1196" i="1" a="1"/>
  <c r="H1196" i="1"/>
  <c r="G1189" i="1" a="1"/>
  <c r="G1189" i="1" s="1"/>
  <c r="G1196" i="1" a="1"/>
  <c r="G1196" i="1"/>
  <c r="K1195" i="1" a="1"/>
  <c r="K1195" i="1" s="1"/>
  <c r="G1195" i="1" a="1"/>
  <c r="G1195" i="1"/>
  <c r="I1195" i="1" a="1"/>
  <c r="I1195" i="1" s="1"/>
  <c r="F1195" i="1" a="1"/>
  <c r="F1195" i="1" s="1"/>
  <c r="I1190" i="1" a="1"/>
  <c r="I1190" i="1" s="1"/>
  <c r="H1194" i="1" a="1"/>
  <c r="H1194" i="1" s="1"/>
  <c r="K1194" i="1" a="1"/>
  <c r="K1194" i="1" s="1"/>
  <c r="K1193" i="1" a="1"/>
  <c r="K1193" i="1" s="1"/>
  <c r="I1191" i="1" a="1"/>
  <c r="I1191" i="1"/>
  <c r="F1192" i="1" a="1"/>
  <c r="F1192" i="1" s="1"/>
  <c r="G1192" i="1" a="1"/>
  <c r="G1192" i="1"/>
  <c r="H1193" i="1" a="1"/>
  <c r="H1193" i="1"/>
  <c r="F1193" i="1" a="1"/>
  <c r="F1193" i="1" s="1"/>
  <c r="K1192" i="1" a="1"/>
  <c r="K1192" i="1"/>
  <c r="J1191" i="1" a="1"/>
  <c r="J1191" i="1"/>
  <c r="F1189" i="1" a="1"/>
  <c r="F1189" i="1" s="1"/>
  <c r="G1191" i="1" a="1"/>
  <c r="G1191" i="1"/>
  <c r="G1199" i="1" a="1"/>
  <c r="G1199" i="1" s="1"/>
  <c r="F1191" i="1" a="1"/>
  <c r="F1191" i="1"/>
  <c r="F1197" i="1" a="1"/>
  <c r="F1197" i="1" s="1"/>
  <c r="H1195" i="1" a="1"/>
  <c r="H1195" i="1"/>
  <c r="F1199" i="1" a="1"/>
  <c r="F1199" i="1" s="1"/>
  <c r="J1197" i="1" a="1"/>
  <c r="J1197" i="1" s="1"/>
  <c r="K1189" i="1" a="1"/>
  <c r="K1189" i="1" s="1"/>
  <c r="I1194" i="1" a="1"/>
  <c r="I1194" i="1" s="1"/>
  <c r="K1198" i="1" a="1"/>
  <c r="K1198" i="1" s="1"/>
  <c r="H1191" i="1" a="1"/>
  <c r="H1191" i="1" s="1"/>
  <c r="J1198" i="1" a="1"/>
  <c r="J1198" i="1" s="1"/>
  <c r="I1198" i="1" a="1"/>
  <c r="I1198" i="1" s="1"/>
  <c r="I1197" i="1" a="1"/>
  <c r="I1197" i="1"/>
  <c r="J1194" i="1" a="1"/>
  <c r="J1194" i="1" s="1"/>
  <c r="I1193" i="1" a="1"/>
  <c r="I1193" i="1"/>
  <c r="J1192" i="1" a="1"/>
  <c r="J1192" i="1" s="1"/>
  <c r="K1191" i="1" a="1"/>
  <c r="K1191" i="1" s="1"/>
  <c r="J1196" i="1" a="1"/>
  <c r="J1196" i="1" s="1"/>
  <c r="J1189" i="1" a="1"/>
  <c r="J1189" i="1"/>
  <c r="F1196" i="1" a="1"/>
  <c r="F1196" i="1" s="1"/>
  <c r="I1192" i="1" a="1"/>
  <c r="I1192" i="1"/>
  <c r="I1189" i="1" a="1"/>
  <c r="I1189" i="1" s="1"/>
  <c r="F1194" i="1" a="1"/>
  <c r="F1194" i="1"/>
  <c r="J1190" i="1" a="1"/>
  <c r="J1190" i="1" s="1"/>
  <c r="F1190" i="1" a="1"/>
  <c r="F1190" i="1"/>
  <c r="H1197" i="1" a="1"/>
  <c r="H1197" i="1" s="1"/>
  <c r="J1195" i="1" a="1"/>
  <c r="J1195" i="1"/>
  <c r="H1198" i="1" a="1"/>
  <c r="H1198" i="1"/>
  <c r="G1198" i="1" a="1"/>
  <c r="G1198" i="1" s="1"/>
  <c r="F1198" i="1" a="1"/>
  <c r="F1198" i="1" s="1"/>
  <c r="H1192" i="1" a="1"/>
  <c r="H1192" i="1" s="1"/>
  <c r="K1188" i="1" a="1"/>
  <c r="K1188" i="1" s="1"/>
  <c r="J1183" i="1" a="1"/>
  <c r="J1183" i="1" s="1"/>
  <c r="F1183" i="1" a="1"/>
  <c r="F1183" i="1"/>
  <c r="I1177" i="1" a="1"/>
  <c r="I1177" i="1" s="1"/>
  <c r="H1177" i="1" a="1"/>
  <c r="H1177" i="1" s="1"/>
  <c r="J1175" i="1" a="1"/>
  <c r="J1175" i="1" s="1"/>
  <c r="H1176" i="1" a="1"/>
  <c r="H1176" i="1" s="1"/>
  <c r="H1185" i="1" a="1"/>
  <c r="H1185" i="1" s="1"/>
  <c r="F1177" i="1" a="1"/>
  <c r="F1177" i="1"/>
  <c r="G1176" i="1" a="1"/>
  <c r="G1176" i="1" s="1"/>
  <c r="I1188" i="1" a="1"/>
  <c r="I1188" i="1"/>
  <c r="H1188" i="1" a="1"/>
  <c r="H1188" i="1" s="1"/>
  <c r="K1187" i="1" a="1"/>
  <c r="K1187" i="1"/>
  <c r="J1186" i="1" a="1"/>
  <c r="J1186" i="1" s="1"/>
  <c r="K1183" i="1" a="1"/>
  <c r="K1183" i="1" s="1"/>
  <c r="K1177" i="1" a="1"/>
  <c r="K1177" i="1"/>
  <c r="J1176" i="1" a="1"/>
  <c r="J1176" i="1"/>
  <c r="H1186" i="1" a="1"/>
  <c r="H1186" i="1"/>
  <c r="K1184" i="1" a="1"/>
  <c r="K1184" i="1" s="1"/>
  <c r="G1183" i="1" a="1"/>
  <c r="G1183" i="1" s="1"/>
  <c r="K1185" i="1" a="1"/>
  <c r="K1185" i="1" s="1"/>
  <c r="F1176" i="1" a="1"/>
  <c r="F1176" i="1" s="1"/>
  <c r="G1186" i="1" a="1"/>
  <c r="G1186" i="1" s="1"/>
  <c r="G1188" i="1" a="1"/>
  <c r="G1188" i="1"/>
  <c r="F1188" i="1" a="1"/>
  <c r="F1188" i="1" s="1"/>
  <c r="I1187" i="1" a="1"/>
  <c r="I1187" i="1"/>
  <c r="J1185" i="1" a="1"/>
  <c r="J1185" i="1" s="1"/>
  <c r="J1187" i="1" a="1"/>
  <c r="J1187" i="1" s="1"/>
  <c r="H1187" i="1" a="1"/>
  <c r="H1187" i="1"/>
  <c r="K1186" i="1" a="1"/>
  <c r="K1186" i="1"/>
  <c r="F1186" i="1" a="1"/>
  <c r="F1186" i="1"/>
  <c r="I1184" i="1" a="1"/>
  <c r="I1184" i="1"/>
  <c r="F1184" i="1" a="1"/>
  <c r="F1184" i="1" s="1"/>
  <c r="I1176" i="1" a="1"/>
  <c r="I1176" i="1"/>
  <c r="G1187" i="1" a="1"/>
  <c r="G1187" i="1" s="1"/>
  <c r="F1187" i="1" a="1"/>
  <c r="F1187" i="1" s="1"/>
  <c r="I1186" i="1" a="1"/>
  <c r="I1186" i="1" s="1"/>
  <c r="K1176" i="1" a="1"/>
  <c r="K1176" i="1"/>
  <c r="I1185" i="1" a="1"/>
  <c r="I1185" i="1" s="1"/>
  <c r="H1184" i="1" a="1"/>
  <c r="H1184" i="1" s="1"/>
  <c r="G1185" i="1" a="1"/>
  <c r="G1185" i="1" s="1"/>
  <c r="I1183" i="1" a="1"/>
  <c r="I1183" i="1" s="1"/>
  <c r="H1183" i="1" a="1"/>
  <c r="H1183" i="1" s="1"/>
  <c r="G1177" i="1" a="1"/>
  <c r="G1177" i="1" s="1"/>
  <c r="J1177" i="1" a="1"/>
  <c r="J1177" i="1" s="1"/>
  <c r="F1185" i="1" a="1"/>
  <c r="F1185" i="1" s="1"/>
  <c r="J1184" i="1" a="1"/>
  <c r="J1184" i="1"/>
  <c r="G1184" i="1" a="1"/>
  <c r="G1184" i="1" s="1"/>
  <c r="K1175" i="1" a="1"/>
  <c r="K1175" i="1"/>
  <c r="J1166" i="1" a="1"/>
  <c r="J1166" i="1"/>
  <c r="I1174" i="1" a="1"/>
  <c r="I1174" i="1"/>
  <c r="H1174" i="1" a="1"/>
  <c r="H1174" i="1" s="1"/>
  <c r="I1168" i="1" a="1"/>
  <c r="I1168" i="1"/>
  <c r="J1167" i="1" a="1"/>
  <c r="J1167" i="1" s="1"/>
  <c r="F1172" i="1" a="1"/>
  <c r="F1172" i="1" s="1"/>
  <c r="H1168" i="1" a="1"/>
  <c r="H1168" i="1"/>
  <c r="I1166" i="1" a="1"/>
  <c r="I1166" i="1"/>
  <c r="G1165" i="1" a="1"/>
  <c r="G1165" i="1"/>
  <c r="J1169" i="1" a="1"/>
  <c r="J1169" i="1"/>
  <c r="G1166" i="1" a="1"/>
  <c r="G1166" i="1" s="1"/>
  <c r="H1170" i="1" a="1"/>
  <c r="H1170" i="1" s="1"/>
  <c r="F1173" i="1" a="1"/>
  <c r="F1173" i="1"/>
  <c r="F1168" i="1" a="1"/>
  <c r="F1168" i="1" s="1"/>
  <c r="I1172" i="1" a="1"/>
  <c r="I1172" i="1" s="1"/>
  <c r="I1171" i="1" a="1"/>
  <c r="I1171" i="1" s="1"/>
  <c r="G1169" i="1" a="1"/>
  <c r="G1169" i="1"/>
  <c r="G1174" i="1" a="1"/>
  <c r="G1174" i="1"/>
  <c r="K1171" i="1" a="1"/>
  <c r="K1171" i="1" s="1"/>
  <c r="J1168" i="1" a="1"/>
  <c r="J1168" i="1" s="1"/>
  <c r="J1173" i="1" a="1"/>
  <c r="J1173" i="1" s="1"/>
  <c r="K1172" i="1" a="1"/>
  <c r="K1172" i="1" s="1"/>
  <c r="G1172" i="1" a="1"/>
  <c r="G1172" i="1" s="1"/>
  <c r="G1167" i="1" a="1"/>
  <c r="G1167" i="1" s="1"/>
  <c r="H1171" i="1" a="1"/>
  <c r="H1171" i="1"/>
  <c r="I1170" i="1" a="1"/>
  <c r="I1170" i="1" s="1"/>
  <c r="F1169" i="1" a="1"/>
  <c r="F1169" i="1" s="1"/>
  <c r="F1170" i="1" a="1"/>
  <c r="F1170" i="1"/>
  <c r="F1167" i="1" a="1"/>
  <c r="F1167" i="1" s="1"/>
  <c r="K1166" i="1" a="1"/>
  <c r="K1166" i="1" s="1"/>
  <c r="K1165" i="1" a="1"/>
  <c r="K1165" i="1"/>
  <c r="H1167" i="1" a="1"/>
  <c r="H1167" i="1" s="1"/>
  <c r="H1169" i="1" a="1"/>
  <c r="H1169" i="1" s="1"/>
  <c r="F1174" i="1" a="1"/>
  <c r="F1174" i="1" s="1"/>
  <c r="J1171" i="1" a="1"/>
  <c r="J1171" i="1" s="1"/>
  <c r="K1167" i="1" a="1"/>
  <c r="K1167" i="1" s="1"/>
  <c r="H1166" i="1" a="1"/>
  <c r="H1166" i="1" s="1"/>
  <c r="J1170" i="1" a="1"/>
  <c r="J1170" i="1"/>
  <c r="F1166" i="1" a="1"/>
  <c r="F1166" i="1" s="1"/>
  <c r="I1175" i="1" a="1"/>
  <c r="I1175" i="1" s="1"/>
  <c r="H1165" i="1" a="1"/>
  <c r="H1165" i="1" s="1"/>
  <c r="I1173" i="1" a="1"/>
  <c r="I1173" i="1" s="1"/>
  <c r="H1175" i="1" a="1"/>
  <c r="H1175" i="1"/>
  <c r="K1168" i="1" a="1"/>
  <c r="K1168" i="1" s="1"/>
  <c r="H1172" i="1" a="1"/>
  <c r="H1172" i="1" s="1"/>
  <c r="I1165" i="1" a="1"/>
  <c r="I1165" i="1" s="1"/>
  <c r="G1170" i="1" a="1"/>
  <c r="G1170" i="1" s="1"/>
  <c r="J1165" i="1" a="1"/>
  <c r="J1165" i="1" s="1"/>
  <c r="G1175" i="1" a="1"/>
  <c r="G1175" i="1"/>
  <c r="F1175" i="1" a="1"/>
  <c r="F1175" i="1" s="1"/>
  <c r="I1167" i="1" a="1"/>
  <c r="I1167" i="1"/>
  <c r="H1173" i="1" a="1"/>
  <c r="H1173" i="1"/>
  <c r="G1171" i="1" a="1"/>
  <c r="G1171" i="1" s="1"/>
  <c r="K1174" i="1" a="1"/>
  <c r="K1174" i="1"/>
  <c r="K1173" i="1" a="1"/>
  <c r="K1173" i="1" s="1"/>
  <c r="J1172" i="1" a="1"/>
  <c r="J1172" i="1" s="1"/>
  <c r="G1168" i="1" a="1"/>
  <c r="G1168" i="1"/>
  <c r="F1171" i="1" a="1"/>
  <c r="F1171" i="1" s="1"/>
  <c r="K1170" i="1" a="1"/>
  <c r="K1170" i="1"/>
  <c r="K1169" i="1" a="1"/>
  <c r="K1169" i="1"/>
  <c r="F1165" i="1" a="1"/>
  <c r="F1165" i="1" s="1"/>
  <c r="I1169" i="1" a="1"/>
  <c r="I1169" i="1" s="1"/>
  <c r="J1174" i="1" a="1"/>
  <c r="J1174" i="1" s="1"/>
  <c r="G1173" i="1" a="1"/>
  <c r="G1173" i="1"/>
  <c r="K1154" i="1" a="1"/>
  <c r="K1154" i="1" s="1"/>
  <c r="J1161" i="1" a="1"/>
  <c r="J1161" i="1" s="1"/>
  <c r="I1161" i="1" a="1"/>
  <c r="I1161" i="1" s="1"/>
  <c r="G1161" i="1" a="1"/>
  <c r="G1161" i="1"/>
  <c r="F1161" i="1" a="1"/>
  <c r="F1161" i="1" s="1"/>
  <c r="K1160" i="1" a="1"/>
  <c r="K1160" i="1" s="1"/>
  <c r="J1160" i="1" a="1"/>
  <c r="J1160" i="1" s="1"/>
  <c r="H1160" i="1" a="1"/>
  <c r="H1160" i="1"/>
  <c r="G1160" i="1" a="1"/>
  <c r="G1160" i="1"/>
  <c r="G1152" i="1" a="1"/>
  <c r="G1152" i="1"/>
  <c r="G1154" i="1" a="1"/>
  <c r="G1154" i="1" s="1"/>
  <c r="J1154" i="1" a="1"/>
  <c r="J1154" i="1" s="1"/>
  <c r="K1153" i="1" a="1"/>
  <c r="K1153" i="1" s="1"/>
  <c r="H1153" i="1" a="1"/>
  <c r="H1153" i="1"/>
  <c r="F1153" i="1" a="1"/>
  <c r="F1153" i="1"/>
  <c r="J1153" i="1" a="1"/>
  <c r="J1153" i="1"/>
  <c r="J1152" i="1" a="1"/>
  <c r="J1152" i="1" s="1"/>
  <c r="K1152" i="1" a="1"/>
  <c r="K1152" i="1" s="1"/>
  <c r="F1152" i="1" a="1"/>
  <c r="F1152" i="1" s="1"/>
  <c r="I1160" i="1" a="1"/>
  <c r="I1160" i="1" s="1"/>
  <c r="G1153" i="1" a="1"/>
  <c r="G1153" i="1"/>
  <c r="H1154" i="1" a="1"/>
  <c r="H1154" i="1" s="1"/>
  <c r="I1152" i="1" a="1"/>
  <c r="I1152" i="1"/>
  <c r="K1151" i="1" a="1"/>
  <c r="K1151" i="1" s="1"/>
  <c r="H1152" i="1" a="1"/>
  <c r="H1152" i="1"/>
  <c r="J1163" i="1" a="1"/>
  <c r="J1163" i="1" s="1"/>
  <c r="K1161" i="1" a="1"/>
  <c r="K1161" i="1"/>
  <c r="K1164" i="1" a="1"/>
  <c r="K1164" i="1"/>
  <c r="J1164" i="1" a="1"/>
  <c r="J1164" i="1" s="1"/>
  <c r="G1163" i="1" a="1"/>
  <c r="G1163" i="1"/>
  <c r="I1164" i="1" a="1"/>
  <c r="I1164" i="1"/>
  <c r="H1164" i="1" a="1"/>
  <c r="H1164" i="1" s="1"/>
  <c r="G1164" i="1" a="1"/>
  <c r="G1164" i="1"/>
  <c r="K1162" i="1" a="1"/>
  <c r="K1162" i="1" s="1"/>
  <c r="J1151" i="1" a="1"/>
  <c r="J1151" i="1"/>
  <c r="I1153" i="1" a="1"/>
  <c r="I1153" i="1" s="1"/>
  <c r="F1164" i="1" a="1"/>
  <c r="F1164" i="1"/>
  <c r="K1163" i="1" a="1"/>
  <c r="K1163" i="1" s="1"/>
  <c r="I1163" i="1" a="1"/>
  <c r="I1163" i="1"/>
  <c r="H1163" i="1" a="1"/>
  <c r="H1163" i="1" s="1"/>
  <c r="F1163" i="1" a="1"/>
  <c r="F1163" i="1" s="1"/>
  <c r="J1162" i="1" a="1"/>
  <c r="J1162" i="1" s="1"/>
  <c r="I1162" i="1" a="1"/>
  <c r="I1162" i="1" s="1"/>
  <c r="H1162" i="1" a="1"/>
  <c r="H1162" i="1"/>
  <c r="G1162" i="1" a="1"/>
  <c r="G1162" i="1" s="1"/>
  <c r="I1154" i="1" a="1"/>
  <c r="I1154" i="1"/>
  <c r="F1160" i="1" a="1"/>
  <c r="F1160" i="1" s="1"/>
  <c r="F1162" i="1" a="1"/>
  <c r="F1162" i="1"/>
  <c r="F1154" i="1" a="1"/>
  <c r="F1154" i="1"/>
  <c r="H1161" i="1" a="1"/>
  <c r="H1161" i="1"/>
  <c r="F1141" i="1" a="1"/>
  <c r="F1141" i="1"/>
  <c r="F1140" i="1" a="1"/>
  <c r="F1140" i="1" s="1"/>
  <c r="H1142" i="1" a="1"/>
  <c r="H1142" i="1"/>
  <c r="G1144" i="1" a="1"/>
  <c r="G1144" i="1" s="1"/>
  <c r="K1142" i="1" a="1"/>
  <c r="K1142" i="1" s="1"/>
  <c r="K1140" i="1" a="1"/>
  <c r="K1140" i="1"/>
  <c r="K1139" i="1" a="1"/>
  <c r="K1139" i="1" s="1"/>
  <c r="K1141" i="1" a="1"/>
  <c r="K1141" i="1" s="1"/>
  <c r="I1140" i="1" a="1"/>
  <c r="I1140" i="1" s="1"/>
  <c r="I1139" i="1" a="1"/>
  <c r="I1139" i="1" s="1"/>
  <c r="I1147" i="1" a="1"/>
  <c r="I1147" i="1" s="1"/>
  <c r="F1147" i="1" a="1"/>
  <c r="F1147" i="1" s="1"/>
  <c r="F1146" i="1" a="1"/>
  <c r="F1146" i="1" s="1"/>
  <c r="F1144" i="1" a="1"/>
  <c r="F1144" i="1"/>
  <c r="F1145" i="1" a="1"/>
  <c r="F1145" i="1" s="1"/>
  <c r="H1151" i="1" a="1"/>
  <c r="H1151" i="1" s="1"/>
  <c r="J1145" i="1" a="1"/>
  <c r="J1145" i="1"/>
  <c r="J1143" i="1" a="1"/>
  <c r="J1143" i="1"/>
  <c r="J1147" i="1" a="1"/>
  <c r="J1147" i="1" s="1"/>
  <c r="G1145" i="1" a="1"/>
  <c r="G1145" i="1"/>
  <c r="I1142" i="1" a="1"/>
  <c r="I1142" i="1"/>
  <c r="G1141" i="1" a="1"/>
  <c r="G1141" i="1"/>
  <c r="G1140" i="1" a="1"/>
  <c r="G1140" i="1" s="1"/>
  <c r="H1144" i="1" a="1"/>
  <c r="H1144" i="1" s="1"/>
  <c r="J1144" i="1" a="1"/>
  <c r="J1144" i="1"/>
  <c r="H1141" i="1" a="1"/>
  <c r="H1141" i="1" s="1"/>
  <c r="G1151" i="1" a="1"/>
  <c r="G1151" i="1" s="1"/>
  <c r="I1143" i="1" a="1"/>
  <c r="I1143" i="1" s="1"/>
  <c r="I1145" i="1" a="1"/>
  <c r="I1145" i="1" s="1"/>
  <c r="J1146" i="1" a="1"/>
  <c r="J1146" i="1" s="1"/>
  <c r="F1148" i="1" a="1"/>
  <c r="F1148" i="1" s="1"/>
  <c r="G1147" i="1" a="1"/>
  <c r="G1147" i="1"/>
  <c r="G1146" i="1" a="1"/>
  <c r="G1146" i="1" s="1"/>
  <c r="J1140" i="1" a="1"/>
  <c r="J1140" i="1" s="1"/>
  <c r="J1139" i="1" a="1"/>
  <c r="J1139" i="1"/>
  <c r="J1142" i="1" a="1"/>
  <c r="J1142" i="1" s="1"/>
  <c r="H1140" i="1" a="1"/>
  <c r="H1140" i="1"/>
  <c r="I1151" i="1" a="1"/>
  <c r="I1151" i="1" s="1"/>
  <c r="F1151" i="1" a="1"/>
  <c r="F1151" i="1"/>
  <c r="K1147" i="1" a="1"/>
  <c r="K1147" i="1" s="1"/>
  <c r="H1146" i="1" a="1"/>
  <c r="H1146" i="1"/>
  <c r="K1144" i="1" a="1"/>
  <c r="K1144" i="1"/>
  <c r="H1143" i="1" a="1"/>
  <c r="H1143" i="1"/>
  <c r="G1142" i="1" a="1"/>
  <c r="G1142" i="1" s="1"/>
  <c r="F1143" i="1" a="1"/>
  <c r="F1143" i="1" s="1"/>
  <c r="K1146" i="1" a="1"/>
  <c r="K1146" i="1" s="1"/>
  <c r="I1146" i="1" a="1"/>
  <c r="I1146" i="1" s="1"/>
  <c r="K1143" i="1" a="1"/>
  <c r="K1143" i="1" s="1"/>
  <c r="G1143" i="1" a="1"/>
  <c r="G1143" i="1" s="1"/>
  <c r="F1142" i="1" a="1"/>
  <c r="F1142" i="1" s="1"/>
  <c r="K1148" i="1" a="1"/>
  <c r="K1148" i="1" s="1"/>
  <c r="J1141" i="1" a="1"/>
  <c r="J1141" i="1" s="1"/>
  <c r="I1141" i="1" a="1"/>
  <c r="I1141" i="1" s="1"/>
  <c r="I1148" i="1" a="1"/>
  <c r="I1148" i="1"/>
  <c r="J1148" i="1" a="1"/>
  <c r="J1148" i="1" s="1"/>
  <c r="I1144" i="1" a="1"/>
  <c r="I1144" i="1" s="1"/>
  <c r="H1148" i="1" a="1"/>
  <c r="H1148" i="1" s="1"/>
  <c r="G1148" i="1" a="1"/>
  <c r="G1148" i="1"/>
  <c r="H1147" i="1" a="1"/>
  <c r="H1147" i="1"/>
  <c r="K1145" i="1" a="1"/>
  <c r="K1145" i="1"/>
  <c r="H1145" i="1" a="1"/>
  <c r="H1145" i="1" s="1"/>
  <c r="H1138" i="1" a="1"/>
  <c r="H1138" i="1"/>
  <c r="H1137" i="1" a="1"/>
  <c r="H1137" i="1"/>
  <c r="G1136" i="1" a="1"/>
  <c r="G1136" i="1"/>
  <c r="F1138" i="1" a="1"/>
  <c r="F1138" i="1" s="1"/>
  <c r="K1137" i="1" a="1"/>
  <c r="K1137" i="1" s="1"/>
  <c r="I1137" i="1" a="1"/>
  <c r="I1137" i="1"/>
  <c r="J1136" i="1" a="1"/>
  <c r="J1136" i="1" s="1"/>
  <c r="H1136" i="1" a="1"/>
  <c r="H1136" i="1" s="1"/>
  <c r="F1137" i="1" a="1"/>
  <c r="F1137" i="1"/>
  <c r="H1139" i="1" a="1"/>
  <c r="H1139" i="1"/>
  <c r="G1138" i="1" a="1"/>
  <c r="G1138" i="1" s="1"/>
  <c r="J1137" i="1" a="1"/>
  <c r="J1137" i="1" s="1"/>
  <c r="I1136" i="1" a="1"/>
  <c r="I1136" i="1" s="1"/>
  <c r="G1139" i="1" a="1"/>
  <c r="G1139" i="1" s="1"/>
  <c r="F1139" i="1" a="1"/>
  <c r="F1139" i="1" s="1"/>
  <c r="K1138" i="1" a="1"/>
  <c r="K1138" i="1" s="1"/>
  <c r="J1138" i="1" a="1"/>
  <c r="J1138" i="1" s="1"/>
  <c r="G1137" i="1" a="1"/>
  <c r="G1137" i="1" s="1"/>
  <c r="F1136" i="1" a="1"/>
  <c r="F1136" i="1"/>
  <c r="I1138" i="1" a="1"/>
  <c r="I1138" i="1" s="1"/>
  <c r="K1136" i="1" a="1"/>
  <c r="K1136" i="1" s="1"/>
  <c r="I1527" i="1" a="1"/>
  <c r="I1527" i="1" s="1"/>
  <c r="F1528" i="1" a="1"/>
  <c r="F1528" i="1"/>
  <c r="H1525" i="1" a="1"/>
  <c r="H1525" i="1"/>
  <c r="G1525" i="1" a="1"/>
  <c r="G1525" i="1" s="1"/>
  <c r="G1527" i="1" a="1"/>
  <c r="G1527" i="1"/>
  <c r="F1525" i="1" a="1"/>
  <c r="F1525" i="1"/>
  <c r="H1547" i="1" a="1"/>
  <c r="H1547" i="1"/>
  <c r="J1529" i="1" a="1"/>
  <c r="J1529" i="1" s="1"/>
  <c r="H1526" i="1" a="1"/>
  <c r="H1526" i="1" s="1"/>
  <c r="K1525" i="1" a="1"/>
  <c r="K1525" i="1"/>
  <c r="J1527" i="1" a="1"/>
  <c r="J1527" i="1"/>
  <c r="J1549" i="1" a="1"/>
  <c r="J1549" i="1" s="1"/>
  <c r="G1549" i="1" a="1"/>
  <c r="G1549" i="1" s="1"/>
  <c r="J1525" i="1" a="1"/>
  <c r="J1525" i="1" s="1"/>
  <c r="I1546" i="1" a="1"/>
  <c r="I1546" i="1"/>
  <c r="H1546" i="1" a="1"/>
  <c r="H1546" i="1" s="1"/>
  <c r="J1528" i="1" a="1"/>
  <c r="J1528" i="1" s="1"/>
  <c r="K1526" i="1" a="1"/>
  <c r="K1526" i="1" s="1"/>
  <c r="I1547" i="1" a="1"/>
  <c r="I1547" i="1" s="1"/>
  <c r="F1527" i="1" a="1"/>
  <c r="F1527" i="1"/>
  <c r="K1546" i="1" a="1"/>
  <c r="K1546" i="1" s="1"/>
  <c r="H1528" i="1" a="1"/>
  <c r="H1528" i="1" s="1"/>
  <c r="G1526" i="1" a="1"/>
  <c r="G1526" i="1" s="1"/>
  <c r="K1527" i="1" a="1"/>
  <c r="K1527" i="1" s="1"/>
  <c r="I1526" i="1" a="1"/>
  <c r="I1526" i="1" s="1"/>
  <c r="K1549" i="1" a="1"/>
  <c r="K1549" i="1" s="1"/>
  <c r="K1547" i="1" a="1"/>
  <c r="K1547" i="1"/>
  <c r="H1527" i="1" a="1"/>
  <c r="H1527" i="1"/>
  <c r="F1549" i="1" a="1"/>
  <c r="F1549" i="1"/>
  <c r="G1529" i="1" a="1"/>
  <c r="G1529" i="1" s="1"/>
  <c r="F1546" i="1" a="1"/>
  <c r="F1546" i="1" s="1"/>
  <c r="I1528" i="1" a="1"/>
  <c r="I1528" i="1"/>
  <c r="G1528" i="1" a="1"/>
  <c r="G1528" i="1"/>
  <c r="I1525" i="1" a="1"/>
  <c r="I1525" i="1" s="1"/>
  <c r="G1546" i="1" a="1"/>
  <c r="G1546" i="1"/>
  <c r="J1526" i="1" a="1"/>
  <c r="J1526" i="1"/>
  <c r="F1526" i="1" a="1"/>
  <c r="F1526" i="1" s="1"/>
  <c r="F1529" i="1" a="1"/>
  <c r="F1529" i="1" s="1"/>
  <c r="I1549" i="1" a="1"/>
  <c r="I1549" i="1" s="1"/>
  <c r="H1549" i="1" a="1"/>
  <c r="H1549" i="1" s="1"/>
  <c r="J1547" i="1" a="1"/>
  <c r="J1547" i="1"/>
  <c r="G1547" i="1" a="1"/>
  <c r="G1547" i="1" s="1"/>
  <c r="F1547" i="1" a="1"/>
  <c r="F1547" i="1" s="1"/>
  <c r="J1546" i="1" a="1"/>
  <c r="J1546" i="1" s="1"/>
  <c r="K1529" i="1" a="1"/>
  <c r="K1529" i="1" s="1"/>
  <c r="H1529" i="1" a="1"/>
  <c r="H1529" i="1"/>
  <c r="K1524" i="1" a="1"/>
  <c r="K1524" i="1"/>
  <c r="I1529" i="1" a="1"/>
  <c r="I1529" i="1" s="1"/>
  <c r="K1528" i="1" a="1"/>
  <c r="K1528" i="1" s="1"/>
  <c r="I1105" i="1"/>
  <c r="K1104" i="1"/>
  <c r="I1104" i="1"/>
  <c r="G1104" i="1"/>
  <c r="J1102" i="1"/>
  <c r="H1102" i="1"/>
  <c r="G1102" i="1"/>
  <c r="F1102" i="1"/>
  <c r="K1100" i="1"/>
  <c r="I1100" i="1"/>
  <c r="K1098" i="1"/>
  <c r="G1098" i="1"/>
  <c r="K1092" i="1"/>
  <c r="I1092" i="1"/>
  <c r="H1092" i="1"/>
  <c r="G1092" i="1"/>
  <c r="K1088" i="1"/>
  <c r="I1088" i="1"/>
  <c r="G1088" i="1"/>
  <c r="F1088" i="1"/>
  <c r="I1087" i="1"/>
  <c r="H1087" i="1"/>
  <c r="F1087" i="1"/>
  <c r="J1085" i="1"/>
  <c r="H1085" i="1"/>
  <c r="F1085" i="1"/>
  <c r="K1083" i="1"/>
  <c r="I1083" i="1"/>
  <c r="G1083" i="1"/>
  <c r="K1082" i="1"/>
  <c r="I1082" i="1"/>
  <c r="G1082" i="1"/>
  <c r="F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H1105" i="1" s="1"/>
  <c r="G1079" i="1"/>
  <c r="G1105" i="1" s="1"/>
  <c r="F1079" i="1"/>
  <c r="F1105" i="1" s="1"/>
  <c r="K1078" i="1"/>
  <c r="J1078" i="1"/>
  <c r="J1104" i="1" s="1"/>
  <c r="I1078" i="1"/>
  <c r="H1078" i="1"/>
  <c r="H1104" i="1" s="1"/>
  <c r="G1078" i="1"/>
  <c r="F1078" i="1"/>
  <c r="F1104" i="1" s="1"/>
  <c r="K1076" i="1"/>
  <c r="K1102" i="1" s="1"/>
  <c r="J1076" i="1"/>
  <c r="I1076" i="1"/>
  <c r="I1102" i="1" s="1"/>
  <c r="H1076" i="1"/>
  <c r="G1076" i="1"/>
  <c r="F1076" i="1"/>
  <c r="K1074" i="1"/>
  <c r="J1074" i="1"/>
  <c r="J1100" i="1" s="1"/>
  <c r="I1074" i="1"/>
  <c r="H1074" i="1"/>
  <c r="H1100" i="1" s="1"/>
  <c r="G1074" i="1"/>
  <c r="G1100" i="1" s="1"/>
  <c r="F1074" i="1"/>
  <c r="F1100" i="1" s="1"/>
  <c r="K1072" i="1"/>
  <c r="J1072" i="1"/>
  <c r="J1098" i="1" s="1"/>
  <c r="I1072" i="1"/>
  <c r="I1098" i="1" s="1"/>
  <c r="H1072" i="1"/>
  <c r="H1098" i="1" s="1"/>
  <c r="G1072" i="1"/>
  <c r="F1072" i="1"/>
  <c r="F1098" i="1" s="1"/>
  <c r="K1066" i="1"/>
  <c r="J1066" i="1"/>
  <c r="J1092" i="1" s="1"/>
  <c r="I1066" i="1"/>
  <c r="H1066" i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H1062" i="1"/>
  <c r="H1088" i="1" s="1"/>
  <c r="G1062" i="1"/>
  <c r="F1062" i="1"/>
  <c r="K1061" i="1"/>
  <c r="K1087" i="1" s="1"/>
  <c r="J1061" i="1"/>
  <c r="J1087" i="1" s="1"/>
  <c r="I1061" i="1"/>
  <c r="H1061" i="1"/>
  <c r="G1061" i="1"/>
  <c r="G1087" i="1" s="1"/>
  <c r="F1061" i="1"/>
  <c r="K1059" i="1"/>
  <c r="K1085" i="1" s="1"/>
  <c r="J1059" i="1"/>
  <c r="I1059" i="1"/>
  <c r="I1085" i="1" s="1"/>
  <c r="H1059" i="1"/>
  <c r="G1059" i="1"/>
  <c r="G1085" i="1" s="1"/>
  <c r="F1059" i="1"/>
  <c r="K1057" i="1"/>
  <c r="J1057" i="1"/>
  <c r="J1083" i="1" s="1"/>
  <c r="I1057" i="1"/>
  <c r="H1057" i="1"/>
  <c r="H1083" i="1" s="1"/>
  <c r="G1057" i="1"/>
  <c r="F1057" i="1"/>
  <c r="F1083" i="1" s="1"/>
  <c r="K1056" i="1"/>
  <c r="J1056" i="1"/>
  <c r="J1082" i="1" s="1"/>
  <c r="I1056" i="1"/>
  <c r="H1056" i="1"/>
  <c r="H1082" i="1" s="1"/>
  <c r="G1056" i="1"/>
  <c r="F1056" i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I902" i="1"/>
  <c r="H902" i="1"/>
  <c r="H899" i="1" s="1"/>
  <c r="G902" i="1"/>
  <c r="F902" i="1"/>
  <c r="F899" i="1" s="1"/>
  <c r="J899" i="1"/>
  <c r="I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I900" i="1" s="1"/>
  <c r="H893" i="1"/>
  <c r="G893" i="1"/>
  <c r="G900" i="1" s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1897" i="1" a="1"/>
  <c r="J1897" i="1" s="1"/>
  <c r="I1897" i="1" a="1"/>
  <c r="I1897" i="1" s="1"/>
  <c r="G1897" i="1" a="1"/>
  <c r="G1897" i="1" s="1"/>
  <c r="J1895" i="1" a="1"/>
  <c r="J1895" i="1" s="1"/>
  <c r="I1889" i="1" a="1"/>
  <c r="I1889" i="1" s="1"/>
  <c r="J1893" i="1" a="1"/>
  <c r="J1893" i="1" s="1"/>
  <c r="J1889" i="1" a="1"/>
  <c r="J1889" i="1"/>
  <c r="H1889" i="1" a="1"/>
  <c r="H1889" i="1" s="1"/>
  <c r="G1889" i="1" a="1"/>
  <c r="G1889" i="1" s="1"/>
  <c r="K1893" i="1" a="1"/>
  <c r="K1893" i="1" s="1"/>
  <c r="G1893" i="1" a="1"/>
  <c r="G1893" i="1" s="1"/>
  <c r="J1891" i="1" a="1"/>
  <c r="J1891" i="1" s="1"/>
  <c r="G1895" i="1" a="1"/>
  <c r="G1895" i="1" s="1"/>
  <c r="F1891" i="1" a="1"/>
  <c r="F1891" i="1" s="1"/>
  <c r="G1891" i="1" a="1"/>
  <c r="G1891" i="1"/>
  <c r="H1897" i="1" a="1"/>
  <c r="H1897" i="1"/>
  <c r="K1895" i="1" a="1"/>
  <c r="K1895" i="1" s="1"/>
  <c r="F1895" i="1" a="1"/>
  <c r="F1895" i="1" s="1"/>
  <c r="K1891" i="1" a="1"/>
  <c r="K1891" i="1" s="1"/>
  <c r="H1893" i="1" a="1"/>
  <c r="H1893" i="1"/>
  <c r="F1889" i="1" a="1"/>
  <c r="F1889" i="1"/>
  <c r="F1893" i="1" a="1"/>
  <c r="F1893" i="1" s="1"/>
  <c r="H1891" i="1" a="1"/>
  <c r="H1891" i="1" s="1"/>
  <c r="K1897" i="1" a="1"/>
  <c r="K1897" i="1" s="1"/>
  <c r="F1897" i="1" a="1"/>
  <c r="F1897" i="1" s="1"/>
  <c r="K1889" i="1" a="1"/>
  <c r="K1889" i="1" s="1"/>
  <c r="I1895" i="1" a="1"/>
  <c r="I1895" i="1" s="1"/>
  <c r="H1895" i="1" a="1"/>
  <c r="H1895" i="1"/>
  <c r="I1893" i="1" a="1"/>
  <c r="I1893" i="1" s="1"/>
  <c r="I1891" i="1" a="1"/>
  <c r="I1891" i="1" s="1"/>
  <c r="I1877" i="1" a="1"/>
  <c r="I1877" i="1" s="1"/>
  <c r="F1885" i="1" a="1"/>
  <c r="F1885" i="1" s="1"/>
  <c r="G1885" i="1" a="1"/>
  <c r="G1885" i="1" s="1"/>
  <c r="G1879" i="1" a="1"/>
  <c r="G1879" i="1" s="1"/>
  <c r="J1885" i="1" a="1"/>
  <c r="J1885" i="1" s="1"/>
  <c r="H1883" i="1" a="1"/>
  <c r="H1883" i="1"/>
  <c r="F1888" i="1" a="1"/>
  <c r="F1888" i="1"/>
  <c r="K1887" i="1" a="1"/>
  <c r="K1887" i="1" s="1"/>
  <c r="I1883" i="1" a="1"/>
  <c r="I1883" i="1" s="1"/>
  <c r="J1882" i="1" a="1"/>
  <c r="J1882" i="1" s="1"/>
  <c r="F1877" i="1" a="1"/>
  <c r="F1877" i="1"/>
  <c r="H1885" i="1" a="1"/>
  <c r="H1885" i="1"/>
  <c r="G1888" i="1" a="1"/>
  <c r="G1888" i="1" s="1"/>
  <c r="F1887" i="1" a="1"/>
  <c r="F1887" i="1" s="1"/>
  <c r="I1885" i="1" a="1"/>
  <c r="I1885" i="1" s="1"/>
  <c r="G1882" i="1" a="1"/>
  <c r="G1882" i="1" s="1"/>
  <c r="J1879" i="1" a="1"/>
  <c r="J1879" i="1" s="1"/>
  <c r="K1877" i="1" a="1"/>
  <c r="K1877" i="1" s="1"/>
  <c r="J1877" i="1" a="1"/>
  <c r="J1877" i="1"/>
  <c r="K1875" i="1" a="1"/>
  <c r="K1875" i="1" s="1"/>
  <c r="K1883" i="1" a="1"/>
  <c r="K1883" i="1" s="1"/>
  <c r="F1879" i="1" a="1"/>
  <c r="F1879" i="1" s="1"/>
  <c r="K1879" i="1" a="1"/>
  <c r="K1879" i="1" s="1"/>
  <c r="K1882" i="1" a="1"/>
  <c r="K1882" i="1" s="1"/>
  <c r="I1879" i="1" a="1"/>
  <c r="I1879" i="1" s="1"/>
  <c r="K1885" i="1" a="1"/>
  <c r="K1885" i="1" s="1"/>
  <c r="G1883" i="1" a="1"/>
  <c r="G1883" i="1"/>
  <c r="G1877" i="1" a="1"/>
  <c r="G1877" i="1"/>
  <c r="J1875" i="1" a="1"/>
  <c r="J1875" i="1" s="1"/>
  <c r="F1883" i="1" a="1"/>
  <c r="F1883" i="1" s="1"/>
  <c r="H1877" i="1" a="1"/>
  <c r="H1877" i="1"/>
  <c r="I1875" i="1" a="1"/>
  <c r="I1875" i="1"/>
  <c r="I1887" i="1" a="1"/>
  <c r="I1887" i="1" s="1"/>
  <c r="H1879" i="1" a="1"/>
  <c r="H1879" i="1" s="1"/>
  <c r="H1887" i="1" a="1"/>
  <c r="H1887" i="1" s="1"/>
  <c r="F1875" i="1" a="1"/>
  <c r="F1875" i="1" s="1"/>
  <c r="K1888" i="1" a="1"/>
  <c r="K1888" i="1" s="1"/>
  <c r="J1888" i="1" a="1"/>
  <c r="J1888" i="1" s="1"/>
  <c r="I1888" i="1" a="1"/>
  <c r="I1888" i="1" s="1"/>
  <c r="G1887" i="1" a="1"/>
  <c r="G1887" i="1"/>
  <c r="J1883" i="1" a="1"/>
  <c r="J1883" i="1" s="1"/>
  <c r="I1882" i="1" a="1"/>
  <c r="I1882" i="1" s="1"/>
  <c r="G1875" i="1" a="1"/>
  <c r="G1875" i="1" s="1"/>
  <c r="H1875" i="1" a="1"/>
  <c r="H1875" i="1"/>
  <c r="H1888" i="1" a="1"/>
  <c r="H1888" i="1" s="1"/>
  <c r="H1882" i="1" a="1"/>
  <c r="H1882" i="1" s="1"/>
  <c r="F1882" i="1" a="1"/>
  <c r="F1882" i="1" s="1"/>
  <c r="J1887" i="1" a="1"/>
  <c r="J1887" i="1"/>
  <c r="J1871" i="1" a="1"/>
  <c r="J1871" i="1"/>
  <c r="H1871" i="1" a="1"/>
  <c r="H1871" i="1" s="1"/>
  <c r="I1860" i="1" a="1"/>
  <c r="I1860" i="1" s="1"/>
  <c r="K1862" i="1" a="1"/>
  <c r="K1862" i="1"/>
  <c r="G1871" i="1" a="1"/>
  <c r="G1871" i="1" s="1"/>
  <c r="I1869" i="1" a="1"/>
  <c r="I1869" i="1" s="1"/>
  <c r="F1869" i="1" a="1"/>
  <c r="F1869" i="1" s="1"/>
  <c r="J1867" i="1" a="1"/>
  <c r="J1867" i="1" s="1"/>
  <c r="G1865" i="1" a="1"/>
  <c r="G1865" i="1" s="1"/>
  <c r="F1865" i="1" a="1"/>
  <c r="F1865" i="1" s="1"/>
  <c r="G1867" i="1" a="1"/>
  <c r="G1867" i="1" s="1"/>
  <c r="H1866" i="1" a="1"/>
  <c r="H1866" i="1" s="1"/>
  <c r="I1863" i="1" a="1"/>
  <c r="I1863" i="1"/>
  <c r="G1866" i="1" a="1"/>
  <c r="G1866" i="1" s="1"/>
  <c r="I1866" i="1" a="1"/>
  <c r="I1866" i="1" s="1"/>
  <c r="I1865" i="1" a="1"/>
  <c r="I1865" i="1"/>
  <c r="K1867" i="1" a="1"/>
  <c r="K1867" i="1"/>
  <c r="F1867" i="1" a="1"/>
  <c r="F1867" i="1" s="1"/>
  <c r="G1862" i="1" a="1"/>
  <c r="G1862" i="1" s="1"/>
  <c r="I1867" i="1" a="1"/>
  <c r="I1867" i="1" s="1"/>
  <c r="K1865" i="1" a="1"/>
  <c r="K1865" i="1" s="1"/>
  <c r="J1865" i="1" a="1"/>
  <c r="J1865" i="1"/>
  <c r="J1863" i="1" a="1"/>
  <c r="J1863" i="1" s="1"/>
  <c r="H1860" i="1" a="1"/>
  <c r="H1860" i="1" s="1"/>
  <c r="K1859" i="1" a="1"/>
  <c r="K1859" i="1" s="1"/>
  <c r="F1863" i="1" a="1"/>
  <c r="F1863" i="1" s="1"/>
  <c r="K1860" i="1" a="1"/>
  <c r="K1860" i="1" s="1"/>
  <c r="H1865" i="1" a="1"/>
  <c r="H1865" i="1" s="1"/>
  <c r="G1860" i="1" a="1"/>
  <c r="G1860" i="1" s="1"/>
  <c r="J1869" i="1" a="1"/>
  <c r="J1869" i="1" s="1"/>
  <c r="F1862" i="1" a="1"/>
  <c r="F1862" i="1" s="1"/>
  <c r="J1866" i="1" a="1"/>
  <c r="J1866" i="1" s="1"/>
  <c r="K1873" i="1" a="1"/>
  <c r="K1873" i="1" s="1"/>
  <c r="J1873" i="1" a="1"/>
  <c r="J1873" i="1"/>
  <c r="I1873" i="1" a="1"/>
  <c r="I1873" i="1" s="1"/>
  <c r="H1873" i="1" a="1"/>
  <c r="H1873" i="1"/>
  <c r="I1871" i="1" a="1"/>
  <c r="I1871" i="1"/>
  <c r="F1871" i="1" a="1"/>
  <c r="F1871" i="1"/>
  <c r="K1866" i="1" a="1"/>
  <c r="K1866" i="1" s="1"/>
  <c r="J1862" i="1" a="1"/>
  <c r="J1862" i="1"/>
  <c r="I1862" i="1" a="1"/>
  <c r="I1862" i="1" s="1"/>
  <c r="F1860" i="1" a="1"/>
  <c r="F1860" i="1" s="1"/>
  <c r="K1869" i="1" a="1"/>
  <c r="K1869" i="1"/>
  <c r="H1867" i="1" a="1"/>
  <c r="H1867" i="1" s="1"/>
  <c r="F1866" i="1" a="1"/>
  <c r="F1866" i="1" s="1"/>
  <c r="H1863" i="1" a="1"/>
  <c r="H1863" i="1" s="1"/>
  <c r="K1863" i="1" a="1"/>
  <c r="K1863" i="1" s="1"/>
  <c r="G1863" i="1" a="1"/>
  <c r="G1863" i="1" s="1"/>
  <c r="H1869" i="1" a="1"/>
  <c r="H1869" i="1" s="1"/>
  <c r="H1862" i="1" a="1"/>
  <c r="H1862" i="1" s="1"/>
  <c r="J1859" i="1" a="1"/>
  <c r="J1859" i="1" s="1"/>
  <c r="G1869" i="1" a="1"/>
  <c r="G1869" i="1" s="1"/>
  <c r="J1860" i="1" a="1"/>
  <c r="J1860" i="1" s="1"/>
  <c r="K1871" i="1" a="1"/>
  <c r="K1871" i="1" s="1"/>
  <c r="G1873" i="1" a="1"/>
  <c r="G1873" i="1" s="1"/>
  <c r="F1873" i="1" a="1"/>
  <c r="F1873" i="1" s="1"/>
  <c r="I1859" i="1" a="1"/>
  <c r="I1859" i="1"/>
  <c r="H1859" i="1" a="1"/>
  <c r="H1859" i="1"/>
  <c r="G1859" i="1" a="1"/>
  <c r="G1859" i="1"/>
  <c r="F1859" i="1" a="1"/>
  <c r="F1859" i="1"/>
  <c r="H1850" i="1" a="1"/>
  <c r="H1850" i="1" s="1"/>
  <c r="K1856" i="1" a="1"/>
  <c r="K1856" i="1" s="1"/>
  <c r="F1852" i="1" a="1"/>
  <c r="F1852" i="1" s="1"/>
  <c r="J1856" i="1" a="1"/>
  <c r="J1856" i="1"/>
  <c r="G1848" i="1" a="1"/>
  <c r="G1848" i="1" s="1"/>
  <c r="I1854" i="1" a="1"/>
  <c r="I1854" i="1"/>
  <c r="F1854" i="1" a="1"/>
  <c r="F1854" i="1" s="1"/>
  <c r="H1856" i="1" a="1"/>
  <c r="H1856" i="1" s="1"/>
  <c r="H1848" i="1" a="1"/>
  <c r="H1848" i="1" s="1"/>
  <c r="K1854" i="1" a="1"/>
  <c r="K1854" i="1" s="1"/>
  <c r="J1850" i="1" a="1"/>
  <c r="J1850" i="1" s="1"/>
  <c r="I1848" i="1" a="1"/>
  <c r="I1848" i="1" s="1"/>
  <c r="K1850" i="1" a="1"/>
  <c r="K1850" i="1" s="1"/>
  <c r="G1854" i="1" a="1"/>
  <c r="G1854" i="1" s="1"/>
  <c r="G1856" i="1" a="1"/>
  <c r="G1856" i="1" s="1"/>
  <c r="F1856" i="1" a="1"/>
  <c r="F1856" i="1" s="1"/>
  <c r="G1850" i="1" a="1"/>
  <c r="G1850" i="1" s="1"/>
  <c r="J1848" i="1" a="1"/>
  <c r="J1848" i="1"/>
  <c r="F1850" i="1" a="1"/>
  <c r="F1850" i="1"/>
  <c r="K1848" i="1" a="1"/>
  <c r="K1848" i="1"/>
  <c r="H1854" i="1" a="1"/>
  <c r="H1854" i="1"/>
  <c r="H1852" i="1" a="1"/>
  <c r="H1852" i="1" s="1"/>
  <c r="G1852" i="1" a="1"/>
  <c r="G1852" i="1" s="1"/>
  <c r="I1856" i="1" a="1"/>
  <c r="I1856" i="1" s="1"/>
  <c r="K1852" i="1" a="1"/>
  <c r="K1852" i="1" s="1"/>
  <c r="I1852" i="1" a="1"/>
  <c r="I1852" i="1" s="1"/>
  <c r="J1854" i="1" a="1"/>
  <c r="J1854" i="1"/>
  <c r="J1852" i="1" a="1"/>
  <c r="J1852" i="1" s="1"/>
  <c r="I1850" i="1" a="1"/>
  <c r="I1850" i="1" s="1"/>
  <c r="J1846" i="1" a="1"/>
  <c r="J1846" i="1" s="1"/>
  <c r="I1846" i="1" a="1"/>
  <c r="I1846" i="1" s="1"/>
  <c r="H1846" i="1" a="1"/>
  <c r="H1846" i="1" s="1"/>
  <c r="G1841" i="1" a="1"/>
  <c r="G1841" i="1" s="1"/>
  <c r="F1846" i="1" a="1"/>
  <c r="F1846" i="1" s="1"/>
  <c r="J1845" i="1" a="1"/>
  <c r="J1845" i="1" s="1"/>
  <c r="G1845" i="1" a="1"/>
  <c r="G1845" i="1"/>
  <c r="F1845" i="1" a="1"/>
  <c r="F1845" i="1" s="1"/>
  <c r="H1840" i="1" a="1"/>
  <c r="H1840" i="1" s="1"/>
  <c r="K1841" i="1" a="1"/>
  <c r="K1841" i="1"/>
  <c r="G1843" i="1" a="1"/>
  <c r="G1843" i="1"/>
  <c r="J1843" i="1" a="1"/>
  <c r="J1843" i="1"/>
  <c r="I1843" i="1" a="1"/>
  <c r="I1843" i="1"/>
  <c r="H1843" i="1" a="1"/>
  <c r="H1843" i="1" s="1"/>
  <c r="J1840" i="1" a="1"/>
  <c r="J1840" i="1" s="1"/>
  <c r="F1843" i="1" a="1"/>
  <c r="F1843" i="1" s="1"/>
  <c r="I1841" i="1" a="1"/>
  <c r="I1841" i="1" s="1"/>
  <c r="F1841" i="1" a="1"/>
  <c r="F1841" i="1" s="1"/>
  <c r="F1848" i="1" a="1"/>
  <c r="F1848" i="1"/>
  <c r="K1843" i="1" a="1"/>
  <c r="K1843" i="1" s="1"/>
  <c r="K1846" i="1" a="1"/>
  <c r="K1846" i="1" s="1"/>
  <c r="H1845" i="1" a="1"/>
  <c r="H1845" i="1" s="1"/>
  <c r="K1845" i="1" a="1"/>
  <c r="K1845" i="1" s="1"/>
  <c r="J1841" i="1" a="1"/>
  <c r="J1841" i="1" s="1"/>
  <c r="G1846" i="1" a="1"/>
  <c r="G1846" i="1" s="1"/>
  <c r="G1840" i="1" a="1"/>
  <c r="G1840" i="1" s="1"/>
  <c r="K1840" i="1" a="1"/>
  <c r="K1840" i="1" s="1"/>
  <c r="I1840" i="1" a="1"/>
  <c r="I1840" i="1"/>
  <c r="I1845" i="1" a="1"/>
  <c r="I1845" i="1" s="1"/>
  <c r="H1841" i="1" a="1"/>
  <c r="H1841" i="1" s="1"/>
  <c r="F1840" i="1" a="1"/>
  <c r="F1840" i="1"/>
  <c r="G1833" i="1" a="1"/>
  <c r="G1833" i="1"/>
  <c r="F1829" i="1" a="1"/>
  <c r="F1829" i="1"/>
  <c r="J1835" i="1" a="1"/>
  <c r="J1835" i="1"/>
  <c r="G1826" i="1" a="1"/>
  <c r="G1826" i="1" s="1"/>
  <c r="I1835" i="1" a="1"/>
  <c r="I1835" i="1" s="1"/>
  <c r="J1827" i="1" a="1"/>
  <c r="J1827" i="1" s="1"/>
  <c r="H1829" i="1" a="1"/>
  <c r="H1829" i="1" s="1"/>
  <c r="I1829" i="1" a="1"/>
  <c r="I1829" i="1" s="1"/>
  <c r="J1831" i="1" a="1"/>
  <c r="J1831" i="1"/>
  <c r="K1829" i="1" a="1"/>
  <c r="K1829" i="1" s="1"/>
  <c r="G1827" i="1" a="1"/>
  <c r="G1827" i="1" s="1"/>
  <c r="J1826" i="1" a="1"/>
  <c r="J1826" i="1" s="1"/>
  <c r="H1837" i="1" a="1"/>
  <c r="H1837" i="1" s="1"/>
  <c r="I1827" i="1" a="1"/>
  <c r="I1827" i="1" s="1"/>
  <c r="K1833" i="1" a="1"/>
  <c r="K1833" i="1" s="1"/>
  <c r="I1826" i="1" a="1"/>
  <c r="I1826" i="1" s="1"/>
  <c r="J1837" i="1" a="1"/>
  <c r="J1837" i="1" s="1"/>
  <c r="K1835" i="1" a="1"/>
  <c r="K1835" i="1"/>
  <c r="H1835" i="1" a="1"/>
  <c r="H1835" i="1" s="1"/>
  <c r="K1826" i="1" a="1"/>
  <c r="K1826" i="1" s="1"/>
  <c r="F1835" i="1" a="1"/>
  <c r="F1835" i="1"/>
  <c r="G1831" i="1" a="1"/>
  <c r="G1831" i="1"/>
  <c r="H1826" i="1" a="1"/>
  <c r="H1826" i="1"/>
  <c r="K1831" i="1" a="1"/>
  <c r="K1831" i="1"/>
  <c r="K1827" i="1" a="1"/>
  <c r="K1827" i="1" s="1"/>
  <c r="F1837" i="1" a="1"/>
  <c r="F1837" i="1" s="1"/>
  <c r="H1827" i="1" a="1"/>
  <c r="H1827" i="1" s="1"/>
  <c r="H1833" i="1" a="1"/>
  <c r="H1833" i="1" s="1"/>
  <c r="F1831" i="1" a="1"/>
  <c r="F1831" i="1" s="1"/>
  <c r="K1837" i="1" a="1"/>
  <c r="K1837" i="1"/>
  <c r="I1833" i="1" a="1"/>
  <c r="I1833" i="1" s="1"/>
  <c r="G1835" i="1" a="1"/>
  <c r="G1835" i="1" s="1"/>
  <c r="F1827" i="1" a="1"/>
  <c r="F1827" i="1" s="1"/>
  <c r="G1829" i="1" a="1"/>
  <c r="G1829" i="1" s="1"/>
  <c r="J1829" i="1" a="1"/>
  <c r="J1829" i="1" s="1"/>
  <c r="K1824" i="1" a="1"/>
  <c r="K1824" i="1" s="1"/>
  <c r="I1837" i="1" a="1"/>
  <c r="I1837" i="1" s="1"/>
  <c r="G1837" i="1" a="1"/>
  <c r="G1837" i="1" s="1"/>
  <c r="J1833" i="1" a="1"/>
  <c r="J1833" i="1"/>
  <c r="F1833" i="1" a="1"/>
  <c r="F1833" i="1" s="1"/>
  <c r="I1831" i="1" a="1"/>
  <c r="I1831" i="1" s="1"/>
  <c r="H1831" i="1" a="1"/>
  <c r="H1831" i="1"/>
  <c r="F1826" i="1" a="1"/>
  <c r="F1826" i="1"/>
  <c r="I1822" i="1" a="1"/>
  <c r="I1822" i="1"/>
  <c r="F1822" i="1" a="1"/>
  <c r="F1822" i="1" s="1"/>
  <c r="G1821" i="1" a="1"/>
  <c r="G1821" i="1" s="1"/>
  <c r="H1822" i="1" a="1"/>
  <c r="H1822" i="1" s="1"/>
  <c r="J1824" i="1" a="1"/>
  <c r="J1824" i="1" s="1"/>
  <c r="H1824" i="1" a="1"/>
  <c r="H1824" i="1" s="1"/>
  <c r="G1824" i="1" a="1"/>
  <c r="G1824" i="1" s="1"/>
  <c r="G1822" i="1" a="1"/>
  <c r="G1822" i="1"/>
  <c r="I1821" i="1" a="1"/>
  <c r="I1821" i="1" s="1"/>
  <c r="H1821" i="1" a="1"/>
  <c r="H1821" i="1" s="1"/>
  <c r="I1824" i="1" a="1"/>
  <c r="I1824" i="1" s="1"/>
  <c r="J1821" i="1" a="1"/>
  <c r="J1821" i="1" s="1"/>
  <c r="F1824" i="1" a="1"/>
  <c r="F1824" i="1"/>
  <c r="K1822" i="1" a="1"/>
  <c r="K1822" i="1" s="1"/>
  <c r="J1822" i="1" a="1"/>
  <c r="J1822" i="1" s="1"/>
  <c r="K1821" i="1" a="1"/>
  <c r="K1821" i="1" s="1"/>
  <c r="F1821" i="1" a="1"/>
  <c r="F1821" i="1"/>
  <c r="G1039" i="1" a="1"/>
  <c r="G1039" i="1" s="1"/>
  <c r="H1037" i="1" a="1"/>
  <c r="H1037" i="1" s="1"/>
  <c r="I1030" i="1" a="1"/>
  <c r="I1030" i="1"/>
  <c r="G1037" i="1" a="1"/>
  <c r="G1037" i="1" s="1"/>
  <c r="J1039" i="1" a="1"/>
  <c r="J1039" i="1" s="1"/>
  <c r="H1039" i="1" a="1"/>
  <c r="H1039" i="1" s="1"/>
  <c r="F1030" i="1" a="1"/>
  <c r="F1030" i="1" s="1"/>
  <c r="K1030" i="1" a="1"/>
  <c r="K1030" i="1" s="1"/>
  <c r="H1030" i="1" a="1"/>
  <c r="H1030" i="1"/>
  <c r="F1037" i="1" a="1"/>
  <c r="F1037" i="1" s="1"/>
  <c r="F1039" i="1" a="1"/>
  <c r="F1039" i="1" s="1"/>
  <c r="I1039" i="1" a="1"/>
  <c r="I1039" i="1" s="1"/>
  <c r="K1037" i="1" a="1"/>
  <c r="K1037" i="1" s="1"/>
  <c r="G1030" i="1" a="1"/>
  <c r="G1030" i="1" s="1"/>
  <c r="J1030" i="1" a="1"/>
  <c r="J1030" i="1" s="1"/>
  <c r="F1052" i="1" a="1"/>
  <c r="F1052" i="1" s="1"/>
  <c r="K1039" i="1" a="1"/>
  <c r="K1039" i="1" s="1"/>
  <c r="J1037" i="1" a="1"/>
  <c r="J1037" i="1"/>
  <c r="I1037" i="1" a="1"/>
  <c r="I1037" i="1" s="1"/>
  <c r="G997" i="1" a="1"/>
  <c r="G997" i="1"/>
  <c r="G1049" i="1" s="1" a="1"/>
  <c r="G1049" i="1" s="1"/>
  <c r="G1006" i="1" a="1"/>
  <c r="G1006" i="1"/>
  <c r="G1052" i="1" s="1" a="1"/>
  <c r="G1052" i="1" s="1"/>
  <c r="H996" i="1" a="1"/>
  <c r="H996" i="1" s="1"/>
  <c r="K997" i="1" a="1"/>
  <c r="K997" i="1" s="1"/>
  <c r="K1049" i="1" s="1" a="1"/>
  <c r="K1049" i="1" s="1"/>
  <c r="J997" i="1" a="1"/>
  <c r="J997" i="1" s="1"/>
  <c r="J1049" i="1" s="1" a="1"/>
  <c r="J1049" i="1" s="1"/>
  <c r="I996" i="1" a="1"/>
  <c r="I996" i="1"/>
  <c r="H1006" i="1" a="1"/>
  <c r="H1006" i="1" s="1"/>
  <c r="H1052" i="1" s="1" a="1"/>
  <c r="H1052" i="1" s="1"/>
  <c r="K1022" i="1" a="1"/>
  <c r="K1022" i="1" s="1"/>
  <c r="F1006" i="1" a="1"/>
  <c r="F1006" i="1" s="1"/>
  <c r="K1027" i="1" a="1"/>
  <c r="K1027" i="1" s="1"/>
  <c r="J1027" i="1" a="1"/>
  <c r="J1027" i="1" s="1"/>
  <c r="I1027" i="1" a="1"/>
  <c r="I1027" i="1" s="1"/>
  <c r="H1027" i="1" a="1"/>
  <c r="H1027" i="1" s="1"/>
  <c r="I1022" i="1" a="1"/>
  <c r="I1022" i="1" s="1"/>
  <c r="G1022" i="1" a="1"/>
  <c r="G1022" i="1" s="1"/>
  <c r="I1006" i="1" a="1"/>
  <c r="I1006" i="1" s="1"/>
  <c r="I1052" i="1" s="1" a="1"/>
  <c r="I1052" i="1" s="1"/>
  <c r="J1022" i="1" a="1"/>
  <c r="J1022" i="1" s="1"/>
  <c r="J996" i="1" a="1"/>
  <c r="J996" i="1"/>
  <c r="F1022" i="1" a="1"/>
  <c r="F1022" i="1" s="1"/>
  <c r="K1006" i="1" a="1"/>
  <c r="K1006" i="1" s="1"/>
  <c r="K1052" i="1" s="1" a="1"/>
  <c r="K1052" i="1" s="1"/>
  <c r="K996" i="1" a="1"/>
  <c r="K996" i="1" s="1"/>
  <c r="G1027" i="1" a="1"/>
  <c r="G1027" i="1"/>
  <c r="F997" i="1" a="1"/>
  <c r="F997" i="1"/>
  <c r="F1049" i="1" s="1" a="1"/>
  <c r="F1049" i="1" s="1"/>
  <c r="G1025" i="1" a="1"/>
  <c r="G1025" i="1" s="1"/>
  <c r="J1006" i="1" a="1"/>
  <c r="J1006" i="1"/>
  <c r="J1052" i="1" s="1" a="1"/>
  <c r="J1052" i="1" s="1"/>
  <c r="H1025" i="1" a="1"/>
  <c r="H1025" i="1" s="1"/>
  <c r="H1022" i="1" a="1"/>
  <c r="H1022" i="1"/>
  <c r="H997" i="1" a="1"/>
  <c r="H997" i="1" s="1"/>
  <c r="H1049" i="1" s="1" a="1"/>
  <c r="H1049" i="1" s="1"/>
  <c r="F1027" i="1" a="1"/>
  <c r="F1027" i="1" s="1"/>
  <c r="K1025" i="1" a="1"/>
  <c r="K1025" i="1" s="1"/>
  <c r="J1025" i="1" a="1"/>
  <c r="J1025" i="1" s="1"/>
  <c r="I1025" i="1" a="1"/>
  <c r="I1025" i="1" s="1"/>
  <c r="I997" i="1" a="1"/>
  <c r="I997" i="1" s="1"/>
  <c r="I1049" i="1" s="1" a="1"/>
  <c r="I1049" i="1" s="1"/>
  <c r="F1025" i="1" a="1"/>
  <c r="F1025" i="1" s="1"/>
  <c r="I977" i="1" a="1"/>
  <c r="I977" i="1" s="1"/>
  <c r="I1051" i="1" s="1" a="1"/>
  <c r="I1051" i="1" s="1"/>
  <c r="F977" i="1" a="1"/>
  <c r="F977" i="1" s="1"/>
  <c r="F1051" i="1" s="1" a="1"/>
  <c r="F1051" i="1" s="1"/>
  <c r="F974" i="1" a="1"/>
  <c r="F974" i="1" s="1"/>
  <c r="F989" i="1" a="1"/>
  <c r="F989" i="1" s="1"/>
  <c r="J983" i="1" a="1"/>
  <c r="J983" i="1" s="1"/>
  <c r="I983" i="1" a="1"/>
  <c r="I983" i="1" s="1"/>
  <c r="F983" i="1" a="1"/>
  <c r="F983" i="1"/>
  <c r="H983" i="1" a="1"/>
  <c r="H983" i="1"/>
  <c r="I974" i="1" a="1"/>
  <c r="I974" i="1" s="1"/>
  <c r="K976" i="1" a="1"/>
  <c r="K976" i="1"/>
  <c r="I976" i="1" a="1"/>
  <c r="I976" i="1" s="1"/>
  <c r="G976" i="1" a="1"/>
  <c r="G976" i="1"/>
  <c r="J977" i="1" a="1"/>
  <c r="J977" i="1" s="1"/>
  <c r="J1051" i="1" s="1" a="1"/>
  <c r="J1051" i="1" s="1"/>
  <c r="H977" i="1" a="1"/>
  <c r="H977" i="1" s="1"/>
  <c r="H1051" i="1" s="1" a="1"/>
  <c r="H1051" i="1" s="1"/>
  <c r="G977" i="1" a="1"/>
  <c r="G977" i="1" s="1"/>
  <c r="G1051" i="1" s="1" a="1"/>
  <c r="G1051" i="1" s="1"/>
  <c r="J976" i="1" a="1"/>
  <c r="J976" i="1"/>
  <c r="G974" i="1" a="1"/>
  <c r="G974" i="1" s="1"/>
  <c r="I973" i="1" a="1"/>
  <c r="I973" i="1" s="1"/>
  <c r="H973" i="1" a="1"/>
  <c r="H973" i="1" s="1"/>
  <c r="F976" i="1" a="1"/>
  <c r="F976" i="1" s="1"/>
  <c r="J974" i="1" a="1"/>
  <c r="J974" i="1" s="1"/>
  <c r="J973" i="1" a="1"/>
  <c r="J973" i="1" s="1"/>
  <c r="G983" i="1" a="1"/>
  <c r="G983" i="1" s="1"/>
  <c r="G973" i="1" a="1"/>
  <c r="G973" i="1" s="1"/>
  <c r="K977" i="1" a="1"/>
  <c r="K977" i="1" s="1"/>
  <c r="K1051" i="1" s="1" a="1"/>
  <c r="K1051" i="1" s="1"/>
  <c r="H974" i="1" a="1"/>
  <c r="H974" i="1" s="1"/>
  <c r="K973" i="1" a="1"/>
  <c r="K973" i="1" s="1"/>
  <c r="H989" i="1" a="1"/>
  <c r="H989" i="1"/>
  <c r="H976" i="1" a="1"/>
  <c r="H976" i="1"/>
  <c r="F973" i="1" a="1"/>
  <c r="F973" i="1" s="1"/>
  <c r="G996" i="1" a="1"/>
  <c r="G996" i="1"/>
  <c r="F996" i="1" a="1"/>
  <c r="F996" i="1"/>
  <c r="K989" i="1" a="1"/>
  <c r="K989" i="1"/>
  <c r="K974" i="1" a="1"/>
  <c r="K974" i="1" s="1"/>
  <c r="J989" i="1" a="1"/>
  <c r="J989" i="1" s="1"/>
  <c r="I989" i="1" a="1"/>
  <c r="I989" i="1" s="1"/>
  <c r="G989" i="1" a="1"/>
  <c r="G989" i="1"/>
  <c r="K983" i="1" a="1"/>
  <c r="K983" i="1" s="1"/>
  <c r="H894" i="1" a="1"/>
  <c r="H894" i="1" s="1"/>
  <c r="H914" i="1" a="1"/>
  <c r="H914" i="1" s="1"/>
  <c r="F912" i="1" a="1"/>
  <c r="F912" i="1" s="1"/>
  <c r="K912" i="1" a="1"/>
  <c r="K912" i="1" s="1"/>
  <c r="J912" i="1" a="1"/>
  <c r="J912" i="1" s="1"/>
  <c r="I914" i="1" a="1"/>
  <c r="I914" i="1" s="1"/>
  <c r="I894" i="1" a="1"/>
  <c r="I894" i="1" s="1"/>
  <c r="I923" i="1" s="1"/>
  <c r="I922" i="1" s="1"/>
  <c r="K926" i="1" a="1"/>
  <c r="K926" i="1"/>
  <c r="I926" i="1" a="1"/>
  <c r="I926" i="1" s="1"/>
  <c r="H926" i="1" a="1"/>
  <c r="H926" i="1" s="1"/>
  <c r="G926" i="1" a="1"/>
  <c r="G926" i="1"/>
  <c r="K894" i="1" a="1"/>
  <c r="K894" i="1"/>
  <c r="K900" i="1" s="1"/>
  <c r="G914" i="1" a="1"/>
  <c r="G914" i="1" s="1"/>
  <c r="G912" i="1" a="1"/>
  <c r="G912" i="1"/>
  <c r="J914" i="1" a="1"/>
  <c r="J914" i="1"/>
  <c r="G894" i="1" a="1"/>
  <c r="G894" i="1"/>
  <c r="G901" i="1" s="1"/>
  <c r="K914" i="1" a="1"/>
  <c r="K914" i="1" s="1"/>
  <c r="F914" i="1" a="1"/>
  <c r="F914" i="1" s="1"/>
  <c r="H912" i="1" a="1"/>
  <c r="H912" i="1" s="1"/>
  <c r="I912" i="1" a="1"/>
  <c r="I912" i="1"/>
  <c r="J894" i="1" a="1"/>
  <c r="J894" i="1" s="1"/>
  <c r="F926" i="1" a="1"/>
  <c r="F926" i="1" s="1"/>
  <c r="J926" i="1" a="1"/>
  <c r="J926" i="1" s="1"/>
  <c r="F894" i="1" a="1"/>
  <c r="F894" i="1" s="1"/>
  <c r="J882" i="1" a="1"/>
  <c r="J882" i="1" s="1"/>
  <c r="G883" i="1" a="1"/>
  <c r="G883" i="1" s="1"/>
  <c r="I883" i="1" a="1"/>
  <c r="I883" i="1" s="1"/>
  <c r="F882" i="1" a="1"/>
  <c r="F882" i="1"/>
  <c r="J883" i="1" a="1"/>
  <c r="J883" i="1"/>
  <c r="K883" i="1" a="1"/>
  <c r="K883" i="1"/>
  <c r="H883" i="1" a="1"/>
  <c r="H883" i="1" s="1"/>
  <c r="F883" i="1" a="1"/>
  <c r="F883" i="1"/>
  <c r="K882" i="1" a="1"/>
  <c r="K882" i="1" s="1"/>
  <c r="I882" i="1" a="1"/>
  <c r="I882" i="1"/>
  <c r="H882" i="1" a="1"/>
  <c r="H882" i="1"/>
  <c r="G882" i="1" a="1"/>
  <c r="G882" i="1" s="1"/>
  <c r="H800" i="1" a="1"/>
  <c r="H800" i="1" s="1"/>
  <c r="J778" i="1" a="1"/>
  <c r="J778" i="1"/>
  <c r="J777" i="1" s="1"/>
  <c r="J804" i="1" a="1"/>
  <c r="J804" i="1" s="1"/>
  <c r="I802" i="1" a="1"/>
  <c r="I802" i="1" s="1"/>
  <c r="I804" i="1" a="1"/>
  <c r="I804" i="1" s="1"/>
  <c r="F804" i="1" a="1"/>
  <c r="F804" i="1"/>
  <c r="F800" i="1" a="1"/>
  <c r="F800" i="1" s="1"/>
  <c r="K800" i="1" a="1"/>
  <c r="K800" i="1"/>
  <c r="I800" i="1" a="1"/>
  <c r="I800" i="1" s="1"/>
  <c r="K778" i="1" a="1"/>
  <c r="K778" i="1"/>
  <c r="K777" i="1" s="1"/>
  <c r="H778" i="1" a="1"/>
  <c r="H778" i="1"/>
  <c r="H777" i="1" s="1"/>
  <c r="H781" i="1" s="1"/>
  <c r="G778" i="1" a="1"/>
  <c r="G778" i="1"/>
  <c r="G777" i="1" s="1"/>
  <c r="F778" i="1" a="1"/>
  <c r="F778" i="1" s="1"/>
  <c r="F777" i="1" s="1"/>
  <c r="F784" i="1" s="1"/>
  <c r="F785" i="1" s="1"/>
  <c r="K802" i="1" a="1"/>
  <c r="K802" i="1"/>
  <c r="H804" i="1" a="1"/>
  <c r="H804" i="1" s="1"/>
  <c r="G804" i="1" a="1"/>
  <c r="G804" i="1" s="1"/>
  <c r="G802" i="1" a="1"/>
  <c r="G802" i="1"/>
  <c r="I778" i="1" a="1"/>
  <c r="I778" i="1"/>
  <c r="H802" i="1" a="1"/>
  <c r="H802" i="1"/>
  <c r="G800" i="1" a="1"/>
  <c r="G800" i="1"/>
  <c r="J800" i="1" a="1"/>
  <c r="J800" i="1" s="1"/>
  <c r="F802" i="1" a="1"/>
  <c r="F802" i="1"/>
  <c r="K804" i="1" a="1"/>
  <c r="K804" i="1" s="1"/>
  <c r="J802" i="1" a="1"/>
  <c r="J802" i="1" s="1"/>
  <c r="H764" i="1" a="1"/>
  <c r="H764" i="1" s="1"/>
  <c r="H814" i="1" s="1" a="1"/>
  <c r="H814" i="1" s="1"/>
  <c r="G764" i="1" a="1"/>
  <c r="G764" i="1" s="1"/>
  <c r="G814" i="1" s="1" a="1"/>
  <c r="G814" i="1" s="1"/>
  <c r="K764" i="1" a="1"/>
  <c r="K764" i="1" s="1"/>
  <c r="K814" i="1" s="1" a="1"/>
  <c r="K814" i="1" s="1"/>
  <c r="F764" i="1" a="1"/>
  <c r="F764" i="1"/>
  <c r="F814" i="1" s="1" a="1"/>
  <c r="F814" i="1" s="1"/>
  <c r="J764" i="1" a="1"/>
  <c r="J764" i="1" s="1"/>
  <c r="J814" i="1" s="1" a="1"/>
  <c r="J814" i="1" s="1"/>
  <c r="I764" i="1" a="1"/>
  <c r="I764" i="1"/>
  <c r="I814" i="1" s="1" a="1"/>
  <c r="I814" i="1" s="1"/>
  <c r="K854" i="1"/>
  <c r="J854" i="1"/>
  <c r="I854" i="1"/>
  <c r="H854" i="1"/>
  <c r="H853" i="1" s="1"/>
  <c r="G854" i="1"/>
  <c r="G853" i="1" s="1"/>
  <c r="F854" i="1"/>
  <c r="K853" i="1"/>
  <c r="J853" i="1"/>
  <c r="I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G785" i="1"/>
  <c r="I784" i="1"/>
  <c r="I785" i="1" s="1"/>
  <c r="H784" i="1"/>
  <c r="H785" i="1" s="1"/>
  <c r="G784" i="1"/>
  <c r="G781" i="1"/>
  <c r="K780" i="1"/>
  <c r="J780" i="1"/>
  <c r="I780" i="1"/>
  <c r="H780" i="1"/>
  <c r="G780" i="1"/>
  <c r="F780" i="1"/>
  <c r="I777" i="1"/>
  <c r="I781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J673" i="1"/>
  <c r="H673" i="1"/>
  <c r="K672" i="1"/>
  <c r="I672" i="1"/>
  <c r="F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I667" i="1"/>
  <c r="I673" i="1" s="1"/>
  <c r="H667" i="1"/>
  <c r="G667" i="1"/>
  <c r="G673" i="1" s="1"/>
  <c r="F667" i="1"/>
  <c r="F673" i="1" s="1"/>
  <c r="K666" i="1"/>
  <c r="J666" i="1"/>
  <c r="J672" i="1" s="1"/>
  <c r="I666" i="1"/>
  <c r="H666" i="1"/>
  <c r="H672" i="1" s="1"/>
  <c r="G666" i="1"/>
  <c r="G672" i="1" s="1"/>
  <c r="F666" i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7" i="1"/>
  <c r="H514" i="1"/>
  <c r="K503" i="1"/>
  <c r="J503" i="1"/>
  <c r="I503" i="1"/>
  <c r="H503" i="1"/>
  <c r="G503" i="1"/>
  <c r="F503" i="1"/>
  <c r="H477" i="1"/>
  <c r="J47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F437" i="1"/>
  <c r="G418" i="1"/>
  <c r="F417" i="1"/>
  <c r="K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7" i="1"/>
  <c r="J51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I384" i="1"/>
  <c r="I515" i="1" s="1"/>
  <c r="F384" i="1"/>
  <c r="F515" i="1" s="1"/>
  <c r="J383" i="1"/>
  <c r="J514" i="1" s="1"/>
  <c r="I383" i="1"/>
  <c r="I514" i="1" s="1"/>
  <c r="H383" i="1"/>
  <c r="K382" i="1"/>
  <c r="K513" i="1" s="1"/>
  <c r="K379" i="1"/>
  <c r="J379" i="1"/>
  <c r="I379" i="1"/>
  <c r="H379" i="1"/>
  <c r="G379" i="1"/>
  <c r="F379" i="1"/>
  <c r="I378" i="1"/>
  <c r="I435" i="1" s="1"/>
  <c r="H378" i="1"/>
  <c r="H435" i="1" s="1"/>
  <c r="G362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2" i="1"/>
  <c r="G322" i="1"/>
  <c r="G477" i="1" s="1"/>
  <c r="J321" i="1"/>
  <c r="J476" i="1" s="1"/>
  <c r="J319" i="1"/>
  <c r="J474" i="1" s="1"/>
  <c r="I319" i="1"/>
  <c r="I474" i="1" s="1"/>
  <c r="H319" i="1"/>
  <c r="H474" i="1" s="1"/>
  <c r="K318" i="1"/>
  <c r="K473" i="1" s="1"/>
  <c r="I318" i="1"/>
  <c r="I473" i="1" s="1"/>
  <c r="H318" i="1"/>
  <c r="H473" i="1" s="1"/>
  <c r="F318" i="1"/>
  <c r="F473" i="1" s="1"/>
  <c r="G316" i="1"/>
  <c r="G471" i="1" s="1"/>
  <c r="H312" i="1"/>
  <c r="H417" i="1" s="1"/>
  <c r="G312" i="1"/>
  <c r="G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I299" i="1"/>
  <c r="I463" i="1" s="1"/>
  <c r="J298" i="1"/>
  <c r="J411" i="1" s="1"/>
  <c r="I298" i="1"/>
  <c r="I411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J127" i="1"/>
  <c r="G127" i="1"/>
  <c r="J126" i="1"/>
  <c r="H126" i="1"/>
  <c r="G126" i="1"/>
  <c r="F126" i="1"/>
  <c r="J124" i="1"/>
  <c r="I124" i="1"/>
  <c r="H124" i="1"/>
  <c r="K123" i="1"/>
  <c r="I123" i="1"/>
  <c r="H123" i="1"/>
  <c r="K122" i="1"/>
  <c r="H122" i="1"/>
  <c r="H121" i="1"/>
  <c r="F121" i="1"/>
  <c r="G120" i="1"/>
  <c r="F120" i="1"/>
  <c r="K119" i="1"/>
  <c r="I119" i="1"/>
  <c r="G119" i="1"/>
  <c r="K118" i="1"/>
  <c r="J118" i="1"/>
  <c r="F118" i="1"/>
  <c r="J117" i="1"/>
  <c r="G117" i="1"/>
  <c r="G116" i="1"/>
  <c r="F116" i="1"/>
  <c r="J115" i="1"/>
  <c r="I115" i="1"/>
  <c r="G115" i="1"/>
  <c r="F115" i="1"/>
  <c r="J114" i="1"/>
  <c r="H114" i="1"/>
  <c r="G114" i="1"/>
  <c r="H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F383" i="1" s="1"/>
  <c r="F514" i="1" s="1"/>
  <c r="K283" i="1"/>
  <c r="J283" i="1"/>
  <c r="I283" i="1"/>
  <c r="H283" i="1"/>
  <c r="G283" i="1"/>
  <c r="F283" i="1"/>
  <c r="K248" i="1"/>
  <c r="J248" i="1"/>
  <c r="J323" i="1" s="1"/>
  <c r="J478" i="1" s="1"/>
  <c r="I248" i="1"/>
  <c r="H248" i="1"/>
  <c r="G248" i="1"/>
  <c r="G323" i="1" s="1"/>
  <c r="G478" i="1" s="1"/>
  <c r="F248" i="1"/>
  <c r="K247" i="1"/>
  <c r="J247" i="1"/>
  <c r="J322" i="1" s="1"/>
  <c r="J477" i="1" s="1"/>
  <c r="I247" i="1"/>
  <c r="H247" i="1"/>
  <c r="G247" i="1"/>
  <c r="F247" i="1"/>
  <c r="F322" i="1" s="1"/>
  <c r="F477" i="1" s="1"/>
  <c r="K246" i="1"/>
  <c r="J246" i="1"/>
  <c r="I246" i="1"/>
  <c r="I321" i="1" s="1"/>
  <c r="I476" i="1" s="1"/>
  <c r="H246" i="1"/>
  <c r="G246" i="1"/>
  <c r="F246" i="1"/>
  <c r="K245" i="1"/>
  <c r="J245" i="1"/>
  <c r="I245" i="1"/>
  <c r="H245" i="1"/>
  <c r="H320" i="1" s="1"/>
  <c r="H475" i="1" s="1"/>
  <c r="G245" i="1"/>
  <c r="F245" i="1"/>
  <c r="K244" i="1"/>
  <c r="K319" i="1" s="1"/>
  <c r="K474" i="1" s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F316" i="1" s="1"/>
  <c r="F471" i="1" s="1"/>
  <c r="K233" i="1"/>
  <c r="J233" i="1"/>
  <c r="I233" i="1"/>
  <c r="H233" i="1"/>
  <c r="G233" i="1"/>
  <c r="F233" i="1"/>
  <c r="F299" i="1" s="1"/>
  <c r="F463" i="1" s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G210" i="1" s="1"/>
  <c r="F214" i="1"/>
  <c r="K210" i="1"/>
  <c r="J210" i="1"/>
  <c r="I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J313" i="1" s="1"/>
  <c r="J418" i="1" s="1"/>
  <c r="I188" i="1"/>
  <c r="H188" i="1"/>
  <c r="G188" i="1"/>
  <c r="G313" i="1" s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H170" i="1"/>
  <c r="H398" i="1" s="1"/>
  <c r="H518" i="1" s="1"/>
  <c r="G170" i="1"/>
  <c r="G398" i="1" s="1"/>
  <c r="G518" i="1" s="1"/>
  <c r="F170" i="1"/>
  <c r="F398" i="1" s="1"/>
  <c r="F518" i="1" s="1"/>
  <c r="K169" i="1"/>
  <c r="K397" i="1" s="1"/>
  <c r="K517" i="1" s="1"/>
  <c r="J169" i="1"/>
  <c r="I169" i="1"/>
  <c r="H169" i="1"/>
  <c r="H397" i="1" s="1"/>
  <c r="H517" i="1" s="1"/>
  <c r="G169" i="1"/>
  <c r="G397" i="1" s="1"/>
  <c r="G517" i="1" s="1"/>
  <c r="F169" i="1"/>
  <c r="F397" i="1" s="1"/>
  <c r="K168" i="1"/>
  <c r="K396" i="1" s="1"/>
  <c r="K437" i="1" s="1"/>
  <c r="J168" i="1"/>
  <c r="J396" i="1" s="1"/>
  <c r="J437" i="1" s="1"/>
  <c r="I168" i="1"/>
  <c r="I396" i="1" s="1"/>
  <c r="I437" i="1" s="1"/>
  <c r="H168" i="1"/>
  <c r="H396" i="1" s="1"/>
  <c r="H437" i="1" s="1"/>
  <c r="G168" i="1"/>
  <c r="G396" i="1" s="1"/>
  <c r="G437" i="1" s="1"/>
  <c r="F168" i="1"/>
  <c r="F396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F156" i="1"/>
  <c r="K155" i="1"/>
  <c r="K383" i="1" s="1"/>
  <c r="K514" i="1" s="1"/>
  <c r="J155" i="1"/>
  <c r="I155" i="1"/>
  <c r="H155" i="1"/>
  <c r="G155" i="1"/>
  <c r="G383" i="1" s="1"/>
  <c r="G514" i="1" s="1"/>
  <c r="F155" i="1"/>
  <c r="K154" i="1"/>
  <c r="J154" i="1"/>
  <c r="J382" i="1" s="1"/>
  <c r="J513" i="1" s="1"/>
  <c r="I154" i="1"/>
  <c r="I382" i="1" s="1"/>
  <c r="I513" i="1" s="1"/>
  <c r="H154" i="1"/>
  <c r="H382" i="1" s="1"/>
  <c r="H513" i="1" s="1"/>
  <c r="G154" i="1"/>
  <c r="G382" i="1" s="1"/>
  <c r="G513" i="1" s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H150" i="1"/>
  <c r="G150" i="1"/>
  <c r="G378" i="1" s="1"/>
  <c r="G435" i="1" s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J138" i="1" s="1" a="1"/>
  <c r="J138" i="1" s="1"/>
  <c r="I131" i="1"/>
  <c r="H131" i="1"/>
  <c r="H359" i="1" s="1"/>
  <c r="H426" i="1" s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J95" i="1"/>
  <c r="I95" i="1"/>
  <c r="I127" i="1" s="1"/>
  <c r="H95" i="1"/>
  <c r="H127" i="1" s="1"/>
  <c r="G95" i="1"/>
  <c r="F95" i="1"/>
  <c r="F323" i="1" s="1"/>
  <c r="F478" i="1" s="1"/>
  <c r="K94" i="1"/>
  <c r="K322" i="1" s="1"/>
  <c r="K477" i="1" s="1"/>
  <c r="J94" i="1"/>
  <c r="I94" i="1"/>
  <c r="H94" i="1"/>
  <c r="G94" i="1"/>
  <c r="F94" i="1"/>
  <c r="K93" i="1"/>
  <c r="K321" i="1" s="1"/>
  <c r="K476" i="1" s="1"/>
  <c r="J93" i="1"/>
  <c r="I93" i="1"/>
  <c r="H93" i="1"/>
  <c r="G93" i="1"/>
  <c r="G321" i="1" s="1"/>
  <c r="G476" i="1" s="1"/>
  <c r="F93" i="1"/>
  <c r="K92" i="1"/>
  <c r="J92" i="1"/>
  <c r="I92" i="1"/>
  <c r="I320" i="1" s="1"/>
  <c r="I475" i="1" s="1"/>
  <c r="H92" i="1"/>
  <c r="G92" i="1"/>
  <c r="F92" i="1"/>
  <c r="K91" i="1"/>
  <c r="J91" i="1"/>
  <c r="J123" i="1" s="1"/>
  <c r="I91" i="1"/>
  <c r="H91" i="1"/>
  <c r="G91" i="1"/>
  <c r="F91" i="1"/>
  <c r="F123" i="1" s="1"/>
  <c r="K90" i="1"/>
  <c r="J90" i="1"/>
  <c r="J318" i="1" s="1"/>
  <c r="I90" i="1"/>
  <c r="I122" i="1" s="1"/>
  <c r="H90" i="1"/>
  <c r="G90" i="1"/>
  <c r="F90" i="1"/>
  <c r="F122" i="1" s="1"/>
  <c r="K89" i="1"/>
  <c r="J89" i="1"/>
  <c r="I89" i="1"/>
  <c r="I317" i="1" s="1"/>
  <c r="I472" i="1" s="1"/>
  <c r="H89" i="1"/>
  <c r="G89" i="1"/>
  <c r="F89" i="1"/>
  <c r="F317" i="1" s="1"/>
  <c r="F472" i="1" s="1"/>
  <c r="K88" i="1"/>
  <c r="K316" i="1" s="1"/>
  <c r="K471" i="1" s="1"/>
  <c r="J88" i="1"/>
  <c r="J120" i="1" s="1"/>
  <c r="I88" i="1"/>
  <c r="I120" i="1" s="1"/>
  <c r="H88" i="1"/>
  <c r="G88" i="1"/>
  <c r="F88" i="1"/>
  <c r="K87" i="1"/>
  <c r="K315" i="1" s="1"/>
  <c r="K470" i="1" s="1"/>
  <c r="J87" i="1"/>
  <c r="J119" i="1" s="1"/>
  <c r="I87" i="1"/>
  <c r="H87" i="1"/>
  <c r="G87" i="1"/>
  <c r="G315" i="1" s="1"/>
  <c r="G470" i="1" s="1"/>
  <c r="F87" i="1"/>
  <c r="K86" i="1"/>
  <c r="J86" i="1"/>
  <c r="I86" i="1"/>
  <c r="H86" i="1"/>
  <c r="H118" i="1" s="1"/>
  <c r="G86" i="1"/>
  <c r="F86" i="1"/>
  <c r="K85" i="1"/>
  <c r="J85" i="1"/>
  <c r="I85" i="1"/>
  <c r="H85" i="1"/>
  <c r="G85" i="1"/>
  <c r="F85" i="1"/>
  <c r="F117" i="1" s="1"/>
  <c r="K84" i="1"/>
  <c r="K312" i="1" s="1"/>
  <c r="K417" i="1" s="1"/>
  <c r="J84" i="1"/>
  <c r="J312" i="1" s="1"/>
  <c r="J417" i="1" s="1"/>
  <c r="I84" i="1"/>
  <c r="I116" i="1" s="1"/>
  <c r="H84" i="1"/>
  <c r="H116" i="1" s="1"/>
  <c r="G84" i="1"/>
  <c r="F84" i="1"/>
  <c r="F312" i="1" s="1"/>
  <c r="K83" i="1"/>
  <c r="K115" i="1" s="1"/>
  <c r="J83" i="1"/>
  <c r="I83" i="1"/>
  <c r="H83" i="1"/>
  <c r="H115" i="1" s="1"/>
  <c r="G83" i="1"/>
  <c r="F83" i="1"/>
  <c r="K82" i="1"/>
  <c r="K114" i="1" s="1"/>
  <c r="J82" i="1"/>
  <c r="I82" i="1"/>
  <c r="I114" i="1" s="1"/>
  <c r="H82" i="1"/>
  <c r="G82" i="1"/>
  <c r="F82" i="1"/>
  <c r="F114" i="1" s="1"/>
  <c r="K81" i="1"/>
  <c r="K113" i="1" s="1"/>
  <c r="J81" i="1"/>
  <c r="J113" i="1" s="1"/>
  <c r="I81" i="1"/>
  <c r="I113" i="1" s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H71" i="1"/>
  <c r="H299" i="1" s="1"/>
  <c r="H463" i="1" s="1"/>
  <c r="G71" i="1"/>
  <c r="G299" i="1" s="1"/>
  <c r="G463" i="1" s="1"/>
  <c r="F71" i="1"/>
  <c r="K70" i="1"/>
  <c r="K298" i="1" s="1"/>
  <c r="J70" i="1"/>
  <c r="I70" i="1"/>
  <c r="H70" i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G2044" i="1" a="1"/>
  <c r="G2044" i="1"/>
  <c r="I2043" i="1" a="1"/>
  <c r="I2043" i="1" s="1"/>
  <c r="K2044" i="1" a="1"/>
  <c r="K2044" i="1" s="1"/>
  <c r="H2044" i="1" a="1"/>
  <c r="H2044" i="1" s="1"/>
  <c r="J2043" i="1" a="1"/>
  <c r="J2043" i="1"/>
  <c r="G2042" i="1" a="1"/>
  <c r="G2042" i="1"/>
  <c r="G2043" i="1" a="1"/>
  <c r="G2043" i="1" s="1"/>
  <c r="G2041" i="1" a="1"/>
  <c r="G2041" i="1" s="1"/>
  <c r="I2044" i="1" a="1"/>
  <c r="I2044" i="1"/>
  <c r="H2041" i="1" a="1"/>
  <c r="H2041" i="1"/>
  <c r="K2041" i="1" a="1"/>
  <c r="K2041" i="1" s="1"/>
  <c r="J2044" i="1" a="1"/>
  <c r="J2044" i="1" s="1"/>
  <c r="I2041" i="1" a="1"/>
  <c r="I2041" i="1" s="1"/>
  <c r="J2042" i="1" a="1"/>
  <c r="J2042" i="1" s="1"/>
  <c r="J2041" i="1" a="1"/>
  <c r="J2041" i="1"/>
  <c r="H2042" i="1" a="1"/>
  <c r="H2042" i="1" s="1"/>
  <c r="H2043" i="1" a="1"/>
  <c r="H2043" i="1"/>
  <c r="I2042" i="1" a="1"/>
  <c r="I2042" i="1" s="1"/>
  <c r="F2042" i="1" a="1"/>
  <c r="F2042" i="1" s="1"/>
  <c r="K2042" i="1" a="1"/>
  <c r="K2042" i="1" s="1"/>
  <c r="F2044" i="1" a="1"/>
  <c r="F2044" i="1"/>
  <c r="F2043" i="1" a="1"/>
  <c r="F2043" i="1"/>
  <c r="K2043" i="1" a="1"/>
  <c r="K2043" i="1" s="1"/>
  <c r="F2040" i="1" a="1"/>
  <c r="F2040" i="1"/>
  <c r="I2040" i="1" a="1"/>
  <c r="I2040" i="1" s="1"/>
  <c r="I2039" i="1" a="1"/>
  <c r="I2039" i="1"/>
  <c r="J2037" i="1" a="1"/>
  <c r="J2037" i="1"/>
  <c r="J2036" i="1" a="1"/>
  <c r="J2036" i="1" s="1"/>
  <c r="I2036" i="1" a="1"/>
  <c r="I2036" i="1" s="1"/>
  <c r="I2035" i="1" a="1"/>
  <c r="I2035" i="1"/>
  <c r="G2031" i="1" a="1"/>
  <c r="G2031" i="1"/>
  <c r="J2032" i="1" a="1"/>
  <c r="J2032" i="1" s="1"/>
  <c r="H2032" i="1" a="1"/>
  <c r="H2032" i="1" s="1"/>
  <c r="F2032" i="1" a="1"/>
  <c r="F2032" i="1" s="1"/>
  <c r="H2039" i="1" a="1"/>
  <c r="H2039" i="1" s="1"/>
  <c r="J2038" i="1" a="1"/>
  <c r="J2038" i="1"/>
  <c r="F2039" i="1" a="1"/>
  <c r="F2039" i="1" s="1"/>
  <c r="K2038" i="1" a="1"/>
  <c r="K2038" i="1"/>
  <c r="H2038" i="1" a="1"/>
  <c r="H2038" i="1" s="1"/>
  <c r="F2036" i="1" a="1"/>
  <c r="F2036" i="1" s="1"/>
  <c r="K2035" i="1" a="1"/>
  <c r="K2035" i="1" s="1"/>
  <c r="F2034" i="1" a="1"/>
  <c r="F2034" i="1" s="1"/>
  <c r="J2031" i="1" a="1"/>
  <c r="J2031" i="1" s="1"/>
  <c r="I2031" i="1" a="1"/>
  <c r="I2031" i="1" s="1"/>
  <c r="K2033" i="1" a="1"/>
  <c r="K2033" i="1"/>
  <c r="G2032" i="1" a="1"/>
  <c r="G2032" i="1" s="1"/>
  <c r="G2038" i="1" a="1"/>
  <c r="G2038" i="1"/>
  <c r="H2031" i="1" a="1"/>
  <c r="H2031" i="1"/>
  <c r="G2037" i="1" a="1"/>
  <c r="G2037" i="1" s="1"/>
  <c r="F2035" i="1" a="1"/>
  <c r="F2035" i="1"/>
  <c r="F2038" i="1" a="1"/>
  <c r="F2038" i="1"/>
  <c r="K2037" i="1" a="1"/>
  <c r="K2037" i="1"/>
  <c r="F2037" i="1" a="1"/>
  <c r="F2037" i="1" s="1"/>
  <c r="K2036" i="1" a="1"/>
  <c r="K2036" i="1"/>
  <c r="G2036" i="1" a="1"/>
  <c r="G2036" i="1" s="1"/>
  <c r="K2034" i="1" a="1"/>
  <c r="K2034" i="1" s="1"/>
  <c r="F2031" i="1" a="1"/>
  <c r="F2031" i="1"/>
  <c r="G2034" i="1" a="1"/>
  <c r="G2034" i="1" s="1"/>
  <c r="F2033" i="1" a="1"/>
  <c r="F2033" i="1"/>
  <c r="I2032" i="1" a="1"/>
  <c r="I2032" i="1"/>
  <c r="I2034" i="1" a="1"/>
  <c r="I2034" i="1" s="1"/>
  <c r="G2040" i="1" a="1"/>
  <c r="G2040" i="1" s="1"/>
  <c r="J2034" i="1" a="1"/>
  <c r="J2034" i="1" s="1"/>
  <c r="F2041" i="1" a="1"/>
  <c r="F2041" i="1" s="1"/>
  <c r="J2039" i="1" a="1"/>
  <c r="J2039" i="1" s="1"/>
  <c r="J2035" i="1" a="1"/>
  <c r="J2035" i="1"/>
  <c r="H2036" i="1" a="1"/>
  <c r="H2036" i="1" s="1"/>
  <c r="H2034" i="1" a="1"/>
  <c r="H2034" i="1"/>
  <c r="K2040" i="1" a="1"/>
  <c r="K2040" i="1"/>
  <c r="G2033" i="1" a="1"/>
  <c r="G2033" i="1" s="1"/>
  <c r="J2040" i="1" a="1"/>
  <c r="J2040" i="1"/>
  <c r="G2039" i="1" a="1"/>
  <c r="G2039" i="1"/>
  <c r="G2035" i="1" a="1"/>
  <c r="G2035" i="1" s="1"/>
  <c r="K2039" i="1" a="1"/>
  <c r="K2039" i="1"/>
  <c r="I2037" i="1" a="1"/>
  <c r="I2037" i="1"/>
  <c r="J2033" i="1" a="1"/>
  <c r="J2033" i="1" s="1"/>
  <c r="H2033" i="1" a="1"/>
  <c r="H2033" i="1" s="1"/>
  <c r="K2032" i="1" a="1"/>
  <c r="K2032" i="1"/>
  <c r="I2033" i="1" a="1"/>
  <c r="I2033" i="1" s="1"/>
  <c r="H2040" i="1" a="1"/>
  <c r="H2040" i="1"/>
  <c r="H2037" i="1" a="1"/>
  <c r="H2037" i="1" s="1"/>
  <c r="K2031" i="1" a="1"/>
  <c r="K2031" i="1" s="1"/>
  <c r="I2038" i="1" a="1"/>
  <c r="I2038" i="1" s="1"/>
  <c r="H2035" i="1" a="1"/>
  <c r="H2035" i="1"/>
  <c r="K2030" i="1" a="1"/>
  <c r="K2030" i="1" s="1"/>
  <c r="K2027" i="1" a="1"/>
  <c r="K2027" i="1"/>
  <c r="H2021" i="1" a="1"/>
  <c r="H2021" i="1" s="1"/>
  <c r="F2020" i="1" a="1"/>
  <c r="F2020" i="1"/>
  <c r="J2030" i="1" a="1"/>
  <c r="J2030" i="1"/>
  <c r="I2030" i="1" a="1"/>
  <c r="I2030" i="1" s="1"/>
  <c r="F2029" i="1" a="1"/>
  <c r="F2029" i="1" s="1"/>
  <c r="H2024" i="1" a="1"/>
  <c r="H2024" i="1" s="1"/>
  <c r="K2021" i="1" a="1"/>
  <c r="K2021" i="1" s="1"/>
  <c r="H2020" i="1" a="1"/>
  <c r="H2020" i="1"/>
  <c r="F2021" i="1" a="1"/>
  <c r="F2021" i="1"/>
  <c r="F2023" i="1" a="1"/>
  <c r="F2023" i="1" s="1"/>
  <c r="G2021" i="1" a="1"/>
  <c r="G2021" i="1"/>
  <c r="G2027" i="1" a="1"/>
  <c r="G2027" i="1" s="1"/>
  <c r="F2027" i="1" a="1"/>
  <c r="F2027" i="1"/>
  <c r="J2026" i="1" a="1"/>
  <c r="J2026" i="1" s="1"/>
  <c r="H2023" i="1" a="1"/>
  <c r="H2023" i="1" s="1"/>
  <c r="J2020" i="1" a="1"/>
  <c r="J2020" i="1"/>
  <c r="G2030" i="1" a="1"/>
  <c r="G2030" i="1"/>
  <c r="K2029" i="1" a="1"/>
  <c r="K2029" i="1" s="1"/>
  <c r="G2029" i="1" a="1"/>
  <c r="G2029" i="1"/>
  <c r="F2024" i="1" a="1"/>
  <c r="F2024" i="1"/>
  <c r="G2020" i="1" a="1"/>
  <c r="G2020" i="1" s="1"/>
  <c r="I2021" i="1" a="1"/>
  <c r="I2021" i="1"/>
  <c r="I2027" i="1" a="1"/>
  <c r="I2027" i="1"/>
  <c r="I2020" i="1" a="1"/>
  <c r="I2020" i="1"/>
  <c r="G2024" i="1" a="1"/>
  <c r="G2024" i="1" s="1"/>
  <c r="G2023" i="1" s="1" a="1"/>
  <c r="G2023" i="1" s="1"/>
  <c r="J2029" i="1" a="1"/>
  <c r="J2029" i="1" s="1"/>
  <c r="I2029" i="1" a="1"/>
  <c r="I2029" i="1" s="1"/>
  <c r="K2026" i="1" a="1"/>
  <c r="K2026" i="1" s="1"/>
  <c r="J2027" i="1" a="1"/>
  <c r="J2027" i="1"/>
  <c r="F2026" i="1" a="1"/>
  <c r="F2026" i="1" s="1"/>
  <c r="I2026" i="1" a="1"/>
  <c r="I2026" i="1" s="1"/>
  <c r="H2029" i="1" a="1"/>
  <c r="H2029" i="1"/>
  <c r="K2024" i="1" a="1"/>
  <c r="K2024" i="1" s="1"/>
  <c r="K2023" i="1" s="1" a="1"/>
  <c r="K2023" i="1" s="1"/>
  <c r="J2024" i="1" a="1"/>
  <c r="J2024" i="1"/>
  <c r="J2023" i="1" s="1" a="1"/>
  <c r="J2023" i="1" s="1"/>
  <c r="G2026" i="1" a="1"/>
  <c r="G2026" i="1" s="1"/>
  <c r="K2020" i="1" a="1"/>
  <c r="K2020" i="1"/>
  <c r="H2030" i="1" a="1"/>
  <c r="H2030" i="1" s="1"/>
  <c r="F2030" i="1" a="1"/>
  <c r="F2030" i="1" s="1"/>
  <c r="H2027" i="1" a="1"/>
  <c r="H2027" i="1"/>
  <c r="H2026" i="1" s="1" a="1"/>
  <c r="H2026" i="1" s="1"/>
  <c r="I2024" i="1" a="1"/>
  <c r="I2024" i="1" s="1"/>
  <c r="I2023" i="1" s="1" a="1"/>
  <c r="I2023" i="1" s="1"/>
  <c r="J2021" i="1" a="1"/>
  <c r="J2021" i="1"/>
  <c r="H2018" i="1" a="1"/>
  <c r="H2018" i="1" s="1"/>
  <c r="I2018" i="1" a="1"/>
  <c r="I2018" i="1" s="1"/>
  <c r="F2018" i="1" a="1"/>
  <c r="F2018" i="1" s="1"/>
  <c r="K2018" i="1" a="1"/>
  <c r="K2018" i="1" s="1"/>
  <c r="J2018" i="1" a="1"/>
  <c r="J2018" i="1"/>
  <c r="G2018" i="1" a="1"/>
  <c r="G2018" i="1"/>
  <c r="K1703" i="1" a="1"/>
  <c r="K1703" i="1" s="1"/>
  <c r="F1703" i="1" a="1"/>
  <c r="F1703" i="1" s="1"/>
  <c r="G1704" i="1" a="1"/>
  <c r="G1704" i="1"/>
  <c r="I1704" i="1" a="1"/>
  <c r="I1704" i="1" s="1"/>
  <c r="J1704" i="1" a="1"/>
  <c r="J1704" i="1" s="1"/>
  <c r="G1703" i="1" a="1"/>
  <c r="G1703" i="1"/>
  <c r="H1703" i="1" a="1"/>
  <c r="H1703" i="1"/>
  <c r="F1704" i="1" a="1"/>
  <c r="F1704" i="1"/>
  <c r="I1703" i="1" a="1"/>
  <c r="I1703" i="1"/>
  <c r="H1704" i="1" a="1"/>
  <c r="H1704" i="1" s="1"/>
  <c r="K1704" i="1" a="1"/>
  <c r="K1704" i="1" s="1"/>
  <c r="J1703" i="1" a="1"/>
  <c r="J1703" i="1"/>
  <c r="H725" i="1" a="1"/>
  <c r="H725" i="1" s="1"/>
  <c r="H722" i="1" a="1"/>
  <c r="H722" i="1"/>
  <c r="F717" i="1" a="1"/>
  <c r="F717" i="1" s="1"/>
  <c r="J722" i="1" a="1"/>
  <c r="J722" i="1"/>
  <c r="G725" i="1" a="1"/>
  <c r="G725" i="1" s="1"/>
  <c r="I724" i="1" a="1"/>
  <c r="I724" i="1" s="1"/>
  <c r="I726" i="1" s="1" a="1"/>
  <c r="I726" i="1" s="1"/>
  <c r="K718" i="1" a="1"/>
  <c r="K718" i="1" s="1"/>
  <c r="G717" i="1" a="1"/>
  <c r="G717" i="1"/>
  <c r="I725" i="1" a="1"/>
  <c r="I725" i="1" s="1"/>
  <c r="F722" i="1" a="1"/>
  <c r="F722" i="1"/>
  <c r="I722" i="1" a="1"/>
  <c r="I722" i="1" s="1"/>
  <c r="I718" i="1" a="1"/>
  <c r="I718" i="1"/>
  <c r="G718" i="1" a="1"/>
  <c r="G718" i="1"/>
  <c r="G724" i="1" s="1" a="1"/>
  <c r="G724" i="1" s="1"/>
  <c r="G726" i="1" s="1" a="1"/>
  <c r="G726" i="1" s="1"/>
  <c r="J717" i="1" a="1"/>
  <c r="J717" i="1"/>
  <c r="H717" i="1" a="1"/>
  <c r="H717" i="1" s="1"/>
  <c r="H718" i="1" a="1"/>
  <c r="H718" i="1"/>
  <c r="J718" i="1" a="1"/>
  <c r="J718" i="1" s="1"/>
  <c r="I717" i="1" a="1"/>
  <c r="I717" i="1"/>
  <c r="J725" i="1" a="1"/>
  <c r="J725" i="1" s="1"/>
  <c r="K722" i="1" a="1"/>
  <c r="K722" i="1"/>
  <c r="F725" i="1" a="1"/>
  <c r="F725" i="1" s="1"/>
  <c r="K725" i="1" a="1"/>
  <c r="K725" i="1"/>
  <c r="K717" i="1" a="1"/>
  <c r="K717" i="1" s="1"/>
  <c r="F718" i="1" a="1"/>
  <c r="F718" i="1" s="1"/>
  <c r="F740" i="1" s="1" a="1"/>
  <c r="F740" i="1" s="1"/>
  <c r="F742" i="1" s="1" a="1"/>
  <c r="F742" i="1" s="1"/>
  <c r="G722" i="1" a="1"/>
  <c r="G722" i="1"/>
  <c r="F716" i="1" a="1"/>
  <c r="F716" i="1"/>
  <c r="J695" i="1" a="1"/>
  <c r="J695" i="1"/>
  <c r="G714" i="1" a="1"/>
  <c r="G714" i="1"/>
  <c r="I709" i="1" a="1"/>
  <c r="I709" i="1" s="1"/>
  <c r="K714" i="1" a="1"/>
  <c r="K714" i="1"/>
  <c r="J714" i="1" a="1"/>
  <c r="J714" i="1" s="1"/>
  <c r="H686" i="1" a="1"/>
  <c r="H686" i="1" s="1"/>
  <c r="G694" i="1" a="1"/>
  <c r="G694" i="1"/>
  <c r="I714" i="1" a="1"/>
  <c r="I714" i="1" s="1"/>
  <c r="F714" i="1" a="1"/>
  <c r="F714" i="1"/>
  <c r="K707" i="1" a="1"/>
  <c r="K707" i="1" s="1"/>
  <c r="J707" i="1" a="1"/>
  <c r="J707" i="1" s="1"/>
  <c r="K686" i="1" a="1"/>
  <c r="K686" i="1" s="1"/>
  <c r="H694" i="1" a="1"/>
  <c r="H694" i="1" s="1"/>
  <c r="K694" i="1" a="1"/>
  <c r="K694" i="1"/>
  <c r="K709" i="1" a="1"/>
  <c r="K709" i="1" s="1"/>
  <c r="F707" i="1" a="1"/>
  <c r="F707" i="1" s="1"/>
  <c r="G707" i="1" a="1"/>
  <c r="G707" i="1" s="1"/>
  <c r="J694" i="1" a="1"/>
  <c r="J694" i="1" s="1"/>
  <c r="J686" i="1" a="1"/>
  <c r="J686" i="1"/>
  <c r="F709" i="1" a="1"/>
  <c r="F709" i="1"/>
  <c r="F695" i="1" a="1"/>
  <c r="F695" i="1"/>
  <c r="I694" i="1" a="1"/>
  <c r="I694" i="1"/>
  <c r="I707" i="1" a="1"/>
  <c r="I707" i="1"/>
  <c r="G686" i="1" a="1"/>
  <c r="G686" i="1" s="1"/>
  <c r="J709" i="1" a="1"/>
  <c r="J709" i="1" s="1"/>
  <c r="G709" i="1" a="1"/>
  <c r="G709" i="1" s="1"/>
  <c r="G695" i="1" a="1"/>
  <c r="G695" i="1" s="1"/>
  <c r="K695" i="1" a="1"/>
  <c r="K695" i="1"/>
  <c r="I716" i="1" a="1"/>
  <c r="I716" i="1" s="1"/>
  <c r="H714" i="1" a="1"/>
  <c r="H714" i="1"/>
  <c r="H695" i="1" a="1"/>
  <c r="H695" i="1" s="1"/>
  <c r="I686" i="1" a="1"/>
  <c r="I686" i="1" s="1"/>
  <c r="H707" i="1" a="1"/>
  <c r="H707" i="1" s="1"/>
  <c r="K716" i="1" a="1"/>
  <c r="K716" i="1" s="1"/>
  <c r="H709" i="1" a="1"/>
  <c r="H709" i="1"/>
  <c r="F694" i="1" a="1"/>
  <c r="F694" i="1" s="1"/>
  <c r="J716" i="1" a="1"/>
  <c r="J716" i="1" s="1"/>
  <c r="I695" i="1" a="1"/>
  <c r="I695" i="1" s="1"/>
  <c r="H716" i="1" a="1"/>
  <c r="H716" i="1" s="1"/>
  <c r="G716" i="1" a="1"/>
  <c r="G716" i="1"/>
  <c r="F685" i="1" a="1"/>
  <c r="F685" i="1"/>
  <c r="J681" i="1" a="1"/>
  <c r="J681" i="1"/>
  <c r="H680" i="1" a="1"/>
  <c r="H680" i="1"/>
  <c r="F681" i="1" a="1"/>
  <c r="F681" i="1"/>
  <c r="F679" i="1" a="1"/>
  <c r="F679" i="1" s="1"/>
  <c r="I685" i="1" a="1"/>
  <c r="I685" i="1" s="1"/>
  <c r="F680" i="1" a="1"/>
  <c r="F680" i="1" s="1"/>
  <c r="H683" i="1" a="1"/>
  <c r="H683" i="1"/>
  <c r="K664" i="1" a="1"/>
  <c r="K664" i="1"/>
  <c r="H685" i="1" a="1"/>
  <c r="H685" i="1" s="1"/>
  <c r="G685" i="1" a="1"/>
  <c r="G685" i="1"/>
  <c r="I681" i="1" a="1"/>
  <c r="I681" i="1"/>
  <c r="H664" i="1" a="1"/>
  <c r="H664" i="1" s="1"/>
  <c r="H681" i="1" a="1"/>
  <c r="H681" i="1" s="1"/>
  <c r="J680" i="1" a="1"/>
  <c r="J680" i="1"/>
  <c r="I680" i="1" a="1"/>
  <c r="I680" i="1" s="1"/>
  <c r="J664" i="1" a="1"/>
  <c r="J664" i="1" s="1"/>
  <c r="K683" i="1" a="1"/>
  <c r="K683" i="1" s="1"/>
  <c r="K681" i="1" a="1"/>
  <c r="K681" i="1" s="1"/>
  <c r="K679" i="1" a="1"/>
  <c r="K679" i="1"/>
  <c r="I683" i="1" a="1"/>
  <c r="I683" i="1"/>
  <c r="K680" i="1" a="1"/>
  <c r="K680" i="1"/>
  <c r="H679" i="1" a="1"/>
  <c r="H679" i="1" s="1"/>
  <c r="F683" i="1" a="1"/>
  <c r="F683" i="1"/>
  <c r="I679" i="1" a="1"/>
  <c r="I679" i="1"/>
  <c r="J679" i="1" a="1"/>
  <c r="J679" i="1" s="1"/>
  <c r="G679" i="1" a="1"/>
  <c r="G679" i="1"/>
  <c r="I664" i="1" a="1"/>
  <c r="I664" i="1" s="1"/>
  <c r="F686" i="1" a="1"/>
  <c r="F686" i="1" s="1"/>
  <c r="K685" i="1" a="1"/>
  <c r="K685" i="1"/>
  <c r="G683" i="1" a="1"/>
  <c r="G683" i="1" s="1"/>
  <c r="G681" i="1" a="1"/>
  <c r="G681" i="1"/>
  <c r="G680" i="1" a="1"/>
  <c r="G680" i="1"/>
  <c r="J683" i="1" a="1"/>
  <c r="J683" i="1" s="1"/>
  <c r="J685" i="1" a="1"/>
  <c r="J685" i="1" s="1"/>
  <c r="G663" i="1" a="1"/>
  <c r="G663" i="1" s="1"/>
  <c r="F663" i="1" a="1"/>
  <c r="F663" i="1" s="1"/>
  <c r="J651" i="1" a="1"/>
  <c r="J651" i="1" s="1"/>
  <c r="F651" i="1" a="1"/>
  <c r="F651" i="1"/>
  <c r="F662" i="1" a="1"/>
  <c r="F662" i="1" s="1"/>
  <c r="I651" i="1" a="1"/>
  <c r="I651" i="1" s="1"/>
  <c r="H650" i="1" a="1"/>
  <c r="H650" i="1"/>
  <c r="I650" i="1" a="1"/>
  <c r="I650" i="1" s="1"/>
  <c r="F650" i="1" a="1"/>
  <c r="F650" i="1" s="1"/>
  <c r="H647" i="1" a="1"/>
  <c r="H647" i="1"/>
  <c r="K646" i="1" a="1"/>
  <c r="K646" i="1" s="1"/>
  <c r="G646" i="1" a="1"/>
  <c r="G646" i="1" s="1"/>
  <c r="F648" i="1" a="1"/>
  <c r="F648" i="1"/>
  <c r="K662" i="1" a="1"/>
  <c r="K662" i="1" s="1"/>
  <c r="I662" i="1" a="1"/>
  <c r="I662" i="1"/>
  <c r="H651" i="1" a="1"/>
  <c r="H651" i="1"/>
  <c r="J648" i="1" a="1"/>
  <c r="J648" i="1" s="1"/>
  <c r="F647" i="1" a="1"/>
  <c r="F647" i="1"/>
  <c r="H646" i="1" a="1"/>
  <c r="H646" i="1" s="1"/>
  <c r="K648" i="1" a="1"/>
  <c r="K648" i="1" s="1"/>
  <c r="J646" i="1" a="1"/>
  <c r="J646" i="1" s="1"/>
  <c r="I647" i="1" a="1"/>
  <c r="I647" i="1"/>
  <c r="G650" i="1" a="1"/>
  <c r="G650" i="1" s="1"/>
  <c r="F646" i="1" a="1"/>
  <c r="F646" i="1" s="1"/>
  <c r="H662" i="1" a="1"/>
  <c r="H662" i="1"/>
  <c r="J650" i="1" a="1"/>
  <c r="J650" i="1" s="1"/>
  <c r="J647" i="1" a="1"/>
  <c r="J647" i="1"/>
  <c r="I646" i="1" a="1"/>
  <c r="I646" i="1"/>
  <c r="K647" i="1" a="1"/>
  <c r="K647" i="1" s="1"/>
  <c r="H648" i="1" a="1"/>
  <c r="H648" i="1" s="1"/>
  <c r="K651" i="1" a="1"/>
  <c r="K651" i="1" s="1"/>
  <c r="G647" i="1" a="1"/>
  <c r="G647" i="1" s="1"/>
  <c r="H645" i="1" a="1"/>
  <c r="H645" i="1" s="1"/>
  <c r="J662" i="1" a="1"/>
  <c r="J662" i="1"/>
  <c r="K650" i="1" a="1"/>
  <c r="K650" i="1"/>
  <c r="J645" i="1" a="1"/>
  <c r="J645" i="1"/>
  <c r="I645" i="1" a="1"/>
  <c r="I645" i="1"/>
  <c r="G664" i="1" a="1"/>
  <c r="G664" i="1" s="1"/>
  <c r="I663" i="1" a="1"/>
  <c r="I663" i="1"/>
  <c r="G662" i="1" a="1"/>
  <c r="G662" i="1"/>
  <c r="I648" i="1" a="1"/>
  <c r="I648" i="1" s="1"/>
  <c r="F664" i="1" a="1"/>
  <c r="F664" i="1"/>
  <c r="K663" i="1" a="1"/>
  <c r="K663" i="1"/>
  <c r="J663" i="1" a="1"/>
  <c r="J663" i="1" s="1"/>
  <c r="G651" i="1" a="1"/>
  <c r="G651" i="1" s="1"/>
  <c r="G648" i="1" a="1"/>
  <c r="G648" i="1"/>
  <c r="K645" i="1" a="1"/>
  <c r="K645" i="1" s="1"/>
  <c r="H663" i="1" a="1"/>
  <c r="H663" i="1"/>
  <c r="I635" i="1" a="1"/>
  <c r="I635" i="1"/>
  <c r="H640" i="1" a="1"/>
  <c r="H640" i="1"/>
  <c r="F638" i="1" a="1"/>
  <c r="F638" i="1" s="1"/>
  <c r="G635" i="1" a="1"/>
  <c r="G635" i="1"/>
  <c r="G637" i="1" a="1"/>
  <c r="G637" i="1" s="1"/>
  <c r="G640" i="1" a="1"/>
  <c r="G640" i="1" s="1"/>
  <c r="G645" i="1" a="1"/>
  <c r="G645" i="1"/>
  <c r="F645" i="1" a="1"/>
  <c r="F645" i="1" s="1"/>
  <c r="I638" i="1" a="1"/>
  <c r="I638" i="1"/>
  <c r="I643" i="1" a="1"/>
  <c r="I643" i="1"/>
  <c r="I641" i="1" a="1"/>
  <c r="I641" i="1" s="1"/>
  <c r="H637" i="1" a="1"/>
  <c r="H637" i="1"/>
  <c r="J643" i="1" a="1"/>
  <c r="J643" i="1" s="1"/>
  <c r="K637" i="1" a="1"/>
  <c r="K637" i="1"/>
  <c r="I637" i="1" a="1"/>
  <c r="I637" i="1" s="1"/>
  <c r="K636" i="1" a="1"/>
  <c r="K636" i="1"/>
  <c r="J635" i="1" a="1"/>
  <c r="J635" i="1" s="1"/>
  <c r="F637" i="1" a="1"/>
  <c r="F637" i="1" s="1"/>
  <c r="H636" i="1" a="1"/>
  <c r="H636" i="1"/>
  <c r="F640" i="1" a="1"/>
  <c r="F640" i="1" s="1"/>
  <c r="H643" i="1" a="1"/>
  <c r="H643" i="1" s="1"/>
  <c r="G638" i="1" a="1"/>
  <c r="G638" i="1"/>
  <c r="I640" i="1" a="1"/>
  <c r="I640" i="1" s="1"/>
  <c r="F635" i="1" a="1"/>
  <c r="F635" i="1"/>
  <c r="J641" i="1" a="1"/>
  <c r="J641" i="1" s="1"/>
  <c r="H635" i="1" a="1"/>
  <c r="H635" i="1" s="1"/>
  <c r="J638" i="1" a="1"/>
  <c r="J638" i="1" s="1"/>
  <c r="K641" i="1" a="1"/>
  <c r="K641" i="1"/>
  <c r="G641" i="1" a="1"/>
  <c r="G641" i="1" s="1"/>
  <c r="J640" i="1" a="1"/>
  <c r="J640" i="1" s="1"/>
  <c r="F636" i="1" a="1"/>
  <c r="F636" i="1"/>
  <c r="K638" i="1" a="1"/>
  <c r="K638" i="1" s="1"/>
  <c r="G636" i="1" a="1"/>
  <c r="G636" i="1" s="1"/>
  <c r="K640" i="1" a="1"/>
  <c r="K640" i="1"/>
  <c r="H638" i="1" a="1"/>
  <c r="H638" i="1"/>
  <c r="F643" i="1" a="1"/>
  <c r="F643" i="1"/>
  <c r="K643" i="1" a="1"/>
  <c r="K643" i="1"/>
  <c r="H641" i="1" a="1"/>
  <c r="H641" i="1" s="1"/>
  <c r="G643" i="1" a="1"/>
  <c r="G643" i="1"/>
  <c r="K635" i="1" a="1"/>
  <c r="K635" i="1"/>
  <c r="J636" i="1" a="1"/>
  <c r="J636" i="1" s="1"/>
  <c r="J637" i="1" a="1"/>
  <c r="J637" i="1" s="1"/>
  <c r="I636" i="1" a="1"/>
  <c r="I636" i="1" s="1"/>
  <c r="F641" i="1" a="1"/>
  <c r="F641" i="1"/>
  <c r="J623" i="1" a="1"/>
  <c r="J623" i="1"/>
  <c r="F633" i="1" a="1"/>
  <c r="F633" i="1" s="1"/>
  <c r="I628" i="1" a="1"/>
  <c r="I628" i="1" s="1"/>
  <c r="G627" i="1" a="1"/>
  <c r="G627" i="1"/>
  <c r="F628" i="1" a="1"/>
  <c r="F628" i="1"/>
  <c r="H628" i="1" a="1"/>
  <c r="H628" i="1" s="1"/>
  <c r="J630" i="1" a="1"/>
  <c r="J630" i="1" s="1"/>
  <c r="I630" i="1" a="1"/>
  <c r="I630" i="1"/>
  <c r="G626" i="1" a="1"/>
  <c r="G626" i="1" s="1"/>
  <c r="G623" i="1" a="1"/>
  <c r="G623" i="1"/>
  <c r="J627" i="1" a="1"/>
  <c r="J627" i="1" s="1"/>
  <c r="G625" i="1" a="1"/>
  <c r="G625" i="1"/>
  <c r="J621" i="1" a="1"/>
  <c r="J621" i="1" s="1"/>
  <c r="H627" i="1" a="1"/>
  <c r="H627" i="1"/>
  <c r="J628" i="1" a="1"/>
  <c r="J628" i="1"/>
  <c r="F626" i="1" a="1"/>
  <c r="F626" i="1"/>
  <c r="I631" i="1" a="1"/>
  <c r="I631" i="1" s="1"/>
  <c r="K621" i="1" a="1"/>
  <c r="K621" i="1"/>
  <c r="I623" i="1" a="1"/>
  <c r="I623" i="1" s="1"/>
  <c r="K630" i="1" a="1"/>
  <c r="K630" i="1"/>
  <c r="I621" i="1" a="1"/>
  <c r="I621" i="1"/>
  <c r="I627" i="1" a="1"/>
  <c r="I627" i="1" s="1"/>
  <c r="J625" i="1" a="1"/>
  <c r="J625" i="1" s="1"/>
  <c r="I625" i="1" a="1"/>
  <c r="I625" i="1"/>
  <c r="H630" i="1" a="1"/>
  <c r="H630" i="1"/>
  <c r="H626" i="1" a="1"/>
  <c r="H626" i="1"/>
  <c r="H623" i="1" a="1"/>
  <c r="H623" i="1"/>
  <c r="K625" i="1" a="1"/>
  <c r="K625" i="1"/>
  <c r="F627" i="1" a="1"/>
  <c r="F627" i="1" s="1"/>
  <c r="J631" i="1" a="1"/>
  <c r="J631" i="1"/>
  <c r="H631" i="1" a="1"/>
  <c r="H631" i="1" s="1"/>
  <c r="G631" i="1" a="1"/>
  <c r="G631" i="1"/>
  <c r="F630" i="1" a="1"/>
  <c r="F630" i="1" s="1"/>
  <c r="K628" i="1" a="1"/>
  <c r="K628" i="1"/>
  <c r="K627" i="1" a="1"/>
  <c r="K627" i="1"/>
  <c r="J626" i="1" a="1"/>
  <c r="J626" i="1"/>
  <c r="F625" i="1" a="1"/>
  <c r="F625" i="1"/>
  <c r="K631" i="1" a="1"/>
  <c r="K631" i="1"/>
  <c r="F631" i="1" a="1"/>
  <c r="F631" i="1" s="1"/>
  <c r="G630" i="1" a="1"/>
  <c r="G630" i="1"/>
  <c r="H621" i="1" a="1"/>
  <c r="H621" i="1"/>
  <c r="G628" i="1" a="1"/>
  <c r="G628" i="1" s="1"/>
  <c r="K626" i="1" a="1"/>
  <c r="K626" i="1" s="1"/>
  <c r="I626" i="1" a="1"/>
  <c r="I626" i="1"/>
  <c r="K623" i="1" a="1"/>
  <c r="K623" i="1"/>
  <c r="F623" i="1" a="1"/>
  <c r="F623" i="1"/>
  <c r="H625" i="1" a="1"/>
  <c r="H625" i="1" s="1"/>
  <c r="K633" i="1" a="1"/>
  <c r="K633" i="1"/>
  <c r="J633" i="1" a="1"/>
  <c r="J633" i="1" s="1"/>
  <c r="I633" i="1" a="1"/>
  <c r="I633" i="1"/>
  <c r="H633" i="1" a="1"/>
  <c r="H633" i="1"/>
  <c r="G633" i="1" a="1"/>
  <c r="G633" i="1"/>
  <c r="J617" i="1" a="1"/>
  <c r="J617" i="1" s="1"/>
  <c r="K615" i="1" a="1"/>
  <c r="K615" i="1" s="1"/>
  <c r="H615" i="1" a="1"/>
  <c r="H615" i="1" s="1"/>
  <c r="J604" i="1" a="1"/>
  <c r="J604" i="1" s="1"/>
  <c r="I604" i="1" a="1"/>
  <c r="I604" i="1" s="1"/>
  <c r="G617" i="1" a="1"/>
  <c r="G617" i="1"/>
  <c r="H616" i="1" a="1"/>
  <c r="H616" i="1" s="1"/>
  <c r="G615" i="1" a="1"/>
  <c r="G615" i="1"/>
  <c r="J607" i="1" a="1"/>
  <c r="J607" i="1"/>
  <c r="G607" i="1" a="1"/>
  <c r="G607" i="1"/>
  <c r="H605" i="1" a="1"/>
  <c r="H605" i="1" s="1"/>
  <c r="K608" i="1" a="1"/>
  <c r="K608" i="1" s="1"/>
  <c r="K604" i="1" a="1"/>
  <c r="K604" i="1" s="1"/>
  <c r="G618" i="1" a="1"/>
  <c r="G618" i="1" s="1"/>
  <c r="F616" i="1" a="1"/>
  <c r="F616" i="1" s="1"/>
  <c r="G616" i="1" a="1"/>
  <c r="G616" i="1"/>
  <c r="F615" i="1" a="1"/>
  <c r="F615" i="1" s="1"/>
  <c r="J608" i="1" a="1"/>
  <c r="J608" i="1"/>
  <c r="F608" i="1" a="1"/>
  <c r="F608" i="1" s="1"/>
  <c r="H607" i="1" a="1"/>
  <c r="H607" i="1"/>
  <c r="I605" i="1" a="1"/>
  <c r="I605" i="1" s="1"/>
  <c r="J605" i="1" a="1"/>
  <c r="J605" i="1" s="1"/>
  <c r="G605" i="1" a="1"/>
  <c r="G605" i="1" s="1"/>
  <c r="F607" i="1" a="1"/>
  <c r="F607" i="1" s="1"/>
  <c r="K617" i="1" a="1"/>
  <c r="K617" i="1" s="1"/>
  <c r="K607" i="1" a="1"/>
  <c r="K607" i="1"/>
  <c r="F617" i="1" a="1"/>
  <c r="F617" i="1" s="1"/>
  <c r="J616" i="1" a="1"/>
  <c r="J616" i="1"/>
  <c r="K605" i="1" a="1"/>
  <c r="K605" i="1"/>
  <c r="J618" i="1" a="1"/>
  <c r="J618" i="1" s="1"/>
  <c r="J615" i="1" a="1"/>
  <c r="J615" i="1" s="1"/>
  <c r="I618" i="1" a="1"/>
  <c r="I618" i="1" s="1"/>
  <c r="H617" i="1" a="1"/>
  <c r="H617" i="1" s="1"/>
  <c r="H618" i="1" a="1"/>
  <c r="H618" i="1" s="1"/>
  <c r="I617" i="1" a="1"/>
  <c r="I617" i="1" s="1"/>
  <c r="K616" i="1" a="1"/>
  <c r="K616" i="1"/>
  <c r="I616" i="1" a="1"/>
  <c r="I616" i="1" s="1"/>
  <c r="I607" i="1" a="1"/>
  <c r="I607" i="1"/>
  <c r="F605" i="1" a="1"/>
  <c r="F605" i="1"/>
  <c r="G621" i="1" a="1"/>
  <c r="G621" i="1"/>
  <c r="F621" i="1" a="1"/>
  <c r="F621" i="1" s="1"/>
  <c r="G608" i="1" a="1"/>
  <c r="G608" i="1"/>
  <c r="F620" i="1" a="1"/>
  <c r="F620" i="1" s="1"/>
  <c r="K620" i="1" a="1"/>
  <c r="K620" i="1" s="1"/>
  <c r="J620" i="1" a="1"/>
  <c r="J620" i="1" s="1"/>
  <c r="I615" i="1" a="1"/>
  <c r="I615" i="1"/>
  <c r="H620" i="1" a="1"/>
  <c r="H620" i="1" s="1"/>
  <c r="H604" i="1" a="1"/>
  <c r="H604" i="1" s="1"/>
  <c r="I620" i="1" a="1"/>
  <c r="I620" i="1"/>
  <c r="G620" i="1" a="1"/>
  <c r="G620" i="1" s="1"/>
  <c r="H608" i="1" a="1"/>
  <c r="H608" i="1" s="1"/>
  <c r="I608" i="1" a="1"/>
  <c r="I608" i="1"/>
  <c r="K618" i="1" a="1"/>
  <c r="K618" i="1"/>
  <c r="F618" i="1" a="1"/>
  <c r="F618" i="1" s="1"/>
  <c r="G586" i="1" a="1"/>
  <c r="G586" i="1" s="1"/>
  <c r="H591" i="1" a="1"/>
  <c r="H591" i="1"/>
  <c r="F591" i="1" a="1"/>
  <c r="F591" i="1" s="1"/>
  <c r="J587" i="1" a="1"/>
  <c r="J587" i="1"/>
  <c r="J586" i="1" a="1"/>
  <c r="J586" i="1" s="1"/>
  <c r="G587" i="1" a="1"/>
  <c r="G587" i="1"/>
  <c r="I587" i="1" a="1"/>
  <c r="I587" i="1" s="1"/>
  <c r="K591" i="1" a="1"/>
  <c r="K591" i="1"/>
  <c r="G593" i="1" a="1"/>
  <c r="G593" i="1"/>
  <c r="J594" i="1" a="1"/>
  <c r="J594" i="1" s="1"/>
  <c r="K583" i="1" a="1"/>
  <c r="K583" i="1" s="1"/>
  <c r="H600" i="1" a="1"/>
  <c r="H600" i="1"/>
  <c r="K593" i="1" a="1"/>
  <c r="K593" i="1" s="1"/>
  <c r="I594" i="1" a="1"/>
  <c r="I594" i="1" s="1"/>
  <c r="J591" i="1" a="1"/>
  <c r="J591" i="1"/>
  <c r="F586" i="1" a="1"/>
  <c r="F586" i="1" s="1"/>
  <c r="K601" i="1" a="1"/>
  <c r="K601" i="1" s="1"/>
  <c r="J601" i="1" a="1"/>
  <c r="J601" i="1"/>
  <c r="J593" i="1" a="1"/>
  <c r="J593" i="1" s="1"/>
  <c r="K594" i="1" a="1"/>
  <c r="K594" i="1"/>
  <c r="G600" i="1" a="1"/>
  <c r="G600" i="1" s="1"/>
  <c r="I593" i="1" a="1"/>
  <c r="I593" i="1"/>
  <c r="H590" i="1" a="1"/>
  <c r="H590" i="1" s="1"/>
  <c r="I586" i="1" a="1"/>
  <c r="I586" i="1"/>
  <c r="I601" i="1" a="1"/>
  <c r="I601" i="1" s="1"/>
  <c r="H586" i="1" a="1"/>
  <c r="H586" i="1"/>
  <c r="H593" i="1" a="1"/>
  <c r="H593" i="1" s="1"/>
  <c r="I590" i="1" a="1"/>
  <c r="I590" i="1"/>
  <c r="K586" i="1" a="1"/>
  <c r="K586" i="1" s="1"/>
  <c r="J600" i="1" a="1"/>
  <c r="J600" i="1" s="1"/>
  <c r="G594" i="1" a="1"/>
  <c r="G594" i="1"/>
  <c r="K587" i="1" a="1"/>
  <c r="K587" i="1"/>
  <c r="H601" i="1" a="1"/>
  <c r="H601" i="1" s="1"/>
  <c r="I600" i="1" a="1"/>
  <c r="I600" i="1"/>
  <c r="H594" i="1" a="1"/>
  <c r="H594" i="1"/>
  <c r="F590" i="1" a="1"/>
  <c r="F590" i="1" s="1"/>
  <c r="G590" i="1" a="1"/>
  <c r="G590" i="1" s="1"/>
  <c r="F594" i="1" a="1"/>
  <c r="F594" i="1" s="1"/>
  <c r="G604" i="1" a="1"/>
  <c r="G604" i="1" s="1"/>
  <c r="F604" i="1" a="1"/>
  <c r="F604" i="1" s="1"/>
  <c r="F600" i="1" a="1"/>
  <c r="F600" i="1" s="1"/>
  <c r="J590" i="1" a="1"/>
  <c r="J590" i="1"/>
  <c r="G601" i="1" a="1"/>
  <c r="G601" i="1" s="1"/>
  <c r="F601" i="1" a="1"/>
  <c r="F601" i="1"/>
  <c r="G591" i="1" a="1"/>
  <c r="G591" i="1"/>
  <c r="H587" i="1" a="1"/>
  <c r="H587" i="1"/>
  <c r="K600" i="1" a="1"/>
  <c r="K600" i="1" s="1"/>
  <c r="F593" i="1" a="1"/>
  <c r="F593" i="1" s="1"/>
  <c r="I591" i="1" a="1"/>
  <c r="I591" i="1" s="1"/>
  <c r="K590" i="1" a="1"/>
  <c r="K590" i="1" s="1"/>
  <c r="F587" i="1" a="1"/>
  <c r="F587" i="1" s="1"/>
  <c r="J582" i="1" a="1"/>
  <c r="J582" i="1"/>
  <c r="H582" i="1" a="1"/>
  <c r="H582" i="1" s="1"/>
  <c r="F582" i="1" a="1"/>
  <c r="F582" i="1" s="1"/>
  <c r="I583" i="1" a="1"/>
  <c r="I583" i="1"/>
  <c r="J583" i="1" a="1"/>
  <c r="J583" i="1"/>
  <c r="H583" i="1" a="1"/>
  <c r="H583" i="1" s="1"/>
  <c r="G583" i="1" a="1"/>
  <c r="G583" i="1" s="1"/>
  <c r="F583" i="1" a="1"/>
  <c r="F583" i="1" s="1"/>
  <c r="K582" i="1" a="1"/>
  <c r="K582" i="1" s="1"/>
  <c r="I582" i="1" a="1"/>
  <c r="I582" i="1" s="1"/>
  <c r="G582" i="1" a="1"/>
  <c r="G582" i="1"/>
  <c r="F30" i="1" a="1"/>
  <c r="F30" i="1" s="1"/>
  <c r="I30" i="1" a="1"/>
  <c r="I30" i="1"/>
  <c r="K30" i="1" a="1"/>
  <c r="K30" i="1" s="1"/>
  <c r="H30" i="1" a="1"/>
  <c r="H30" i="1"/>
  <c r="F31" i="1" a="1"/>
  <c r="F31" i="1" s="1"/>
  <c r="J31" i="1" a="1"/>
  <c r="J31" i="1" s="1"/>
  <c r="I31" i="1" a="1"/>
  <c r="I31" i="1" s="1"/>
  <c r="J30" i="1" a="1"/>
  <c r="J30" i="1" s="1"/>
  <c r="G31" i="1" a="1"/>
  <c r="G31" i="1" s="1"/>
  <c r="H31" i="1" a="1"/>
  <c r="H31" i="1"/>
  <c r="K31" i="1" a="1"/>
  <c r="K31" i="1" s="1"/>
  <c r="G30" i="1" a="1"/>
  <c r="G30" i="1"/>
  <c r="K741" i="1" a="1"/>
  <c r="K741" i="1"/>
  <c r="I738" i="1" a="1"/>
  <c r="I738" i="1" s="1"/>
  <c r="J741" i="1" a="1"/>
  <c r="J741" i="1" s="1"/>
  <c r="H738" i="1" a="1"/>
  <c r="H738" i="1" s="1"/>
  <c r="H741" i="1" a="1"/>
  <c r="H741" i="1" s="1"/>
  <c r="I741" i="1" a="1"/>
  <c r="I741" i="1" s="1"/>
  <c r="G740" i="1" a="1"/>
  <c r="G740" i="1" s="1"/>
  <c r="G742" i="1" s="1" a="1"/>
  <c r="G742" i="1" s="1"/>
  <c r="G738" i="1" a="1"/>
  <c r="G738" i="1" s="1"/>
  <c r="G741" i="1" a="1"/>
  <c r="G741" i="1"/>
  <c r="K738" i="1" a="1"/>
  <c r="K738" i="1"/>
  <c r="F738" i="1" a="1"/>
  <c r="F738" i="1"/>
  <c r="F741" i="1" a="1"/>
  <c r="F741" i="1" s="1"/>
  <c r="J738" i="1" a="1"/>
  <c r="J738" i="1" s="1"/>
  <c r="K19" i="1"/>
  <c r="K18" i="1" s="1"/>
  <c r="J19" i="1"/>
  <c r="J18" i="1" s="1"/>
  <c r="I19" i="1"/>
  <c r="H19" i="1"/>
  <c r="H18" i="1" s="1"/>
  <c r="G19" i="1"/>
  <c r="G18" i="1" s="1"/>
  <c r="F19" i="1"/>
  <c r="F18" i="1" s="1"/>
  <c r="I18" i="1"/>
  <c r="G282" i="1" a="1"/>
  <c r="G282" i="1" s="1"/>
  <c r="G281" i="1" s="1"/>
  <c r="G380" i="1" s="1"/>
  <c r="G511" i="1" s="1"/>
  <c r="I273" i="1" a="1"/>
  <c r="I273" i="1" s="1"/>
  <c r="I272" i="1" s="1"/>
  <c r="G240" i="1" a="1"/>
  <c r="G240" i="1" s="1"/>
  <c r="I240" i="1" a="1"/>
  <c r="I240" i="1" s="1"/>
  <c r="H240" i="1" a="1"/>
  <c r="H240" i="1" s="1"/>
  <c r="I282" i="1" a="1"/>
  <c r="I282" i="1" s="1"/>
  <c r="I281" i="1" s="1"/>
  <c r="F240" i="1" a="1"/>
  <c r="F240" i="1" s="1"/>
  <c r="F239" i="1" s="1"/>
  <c r="J282" i="1" a="1"/>
  <c r="J282" i="1"/>
  <c r="J281" i="1" s="1"/>
  <c r="J380" i="1" s="1"/>
  <c r="J511" i="1" s="1"/>
  <c r="J273" i="1" a="1"/>
  <c r="J273" i="1" s="1"/>
  <c r="J272" i="1" s="1"/>
  <c r="J361" i="1" s="1"/>
  <c r="J502" i="1" s="1"/>
  <c r="F273" i="1" a="1"/>
  <c r="F273" i="1" s="1"/>
  <c r="J240" i="1" a="1"/>
  <c r="J240" i="1" s="1"/>
  <c r="F282" i="1" a="1"/>
  <c r="F282" i="1" s="1"/>
  <c r="F281" i="1" s="1"/>
  <c r="G273" i="1" a="1"/>
  <c r="G273" i="1" s="1"/>
  <c r="G272" i="1" s="1"/>
  <c r="G361" i="1" s="1"/>
  <c r="G502" i="1" s="1"/>
  <c r="K273" i="1" a="1"/>
  <c r="K273" i="1" s="1"/>
  <c r="H273" i="1" a="1"/>
  <c r="H273" i="1" s="1"/>
  <c r="H272" i="1" s="1"/>
  <c r="H361" i="1" s="1"/>
  <c r="H502" i="1" s="1"/>
  <c r="K282" i="1" a="1"/>
  <c r="K282" i="1" s="1"/>
  <c r="K281" i="1" s="1"/>
  <c r="H282" i="1" a="1"/>
  <c r="H282" i="1" s="1"/>
  <c r="H281" i="1" s="1"/>
  <c r="H380" i="1" s="1"/>
  <c r="H511" i="1" s="1"/>
  <c r="K240" i="1" a="1"/>
  <c r="K240" i="1" s="1"/>
  <c r="K239" i="1" s="1"/>
  <c r="K314" i="1" s="1"/>
  <c r="K469" i="1" s="1"/>
  <c r="J197" i="1" a="1"/>
  <c r="J197" i="1" s="1"/>
  <c r="J196" i="1" s="1"/>
  <c r="F197" i="1" a="1"/>
  <c r="F197" i="1"/>
  <c r="H197" i="1" a="1"/>
  <c r="H197" i="1" s="1"/>
  <c r="H196" i="1" s="1"/>
  <c r="I197" i="1" a="1"/>
  <c r="I197" i="1" s="1"/>
  <c r="I196" i="1" s="1"/>
  <c r="I359" i="1" s="1"/>
  <c r="I426" i="1" s="1"/>
  <c r="G197" i="1" a="1"/>
  <c r="G197" i="1" s="1"/>
  <c r="G196" i="1" s="1"/>
  <c r="K197" i="1" a="1"/>
  <c r="K197" i="1"/>
  <c r="K196" i="1" s="1"/>
  <c r="J137" i="1" a="1"/>
  <c r="J137" i="1" s="1"/>
  <c r="I137" i="1" a="1"/>
  <c r="I137" i="1" s="1"/>
  <c r="H137" i="1" a="1"/>
  <c r="H137" i="1" s="1"/>
  <c r="H136" i="1" a="1"/>
  <c r="H136" i="1" s="1"/>
  <c r="F139" i="1" a="1"/>
  <c r="F139" i="1" s="1"/>
  <c r="K139" i="1" a="1"/>
  <c r="K139" i="1"/>
  <c r="J139" i="1" a="1"/>
  <c r="J139" i="1"/>
  <c r="I139" i="1" a="1"/>
  <c r="I139" i="1" s="1"/>
  <c r="H138" i="1" a="1"/>
  <c r="H138" i="1" s="1"/>
  <c r="G138" i="1" a="1"/>
  <c r="G138" i="1"/>
  <c r="F137" i="1" a="1"/>
  <c r="F137" i="1"/>
  <c r="K136" i="1" a="1"/>
  <c r="K136" i="1" s="1"/>
  <c r="I136" i="1" a="1"/>
  <c r="I136" i="1" s="1"/>
  <c r="F136" i="1" a="1"/>
  <c r="F136" i="1" s="1"/>
  <c r="F138" i="1" a="1"/>
  <c r="F138" i="1" s="1"/>
  <c r="K137" i="1" a="1"/>
  <c r="K137" i="1"/>
  <c r="G137" i="1" a="1"/>
  <c r="G137" i="1"/>
  <c r="J136" i="1" a="1"/>
  <c r="J136" i="1"/>
  <c r="G136" i="1" a="1"/>
  <c r="G136" i="1" s="1"/>
  <c r="H139" i="1" a="1"/>
  <c r="H139" i="1"/>
  <c r="G139" i="1" a="1"/>
  <c r="G139" i="1"/>
  <c r="K138" i="1" a="1"/>
  <c r="K138" i="1" s="1"/>
  <c r="I138" i="1" a="1"/>
  <c r="I138" i="1" s="1"/>
  <c r="I58" i="1" a="1"/>
  <c r="I58" i="1" s="1"/>
  <c r="H60" i="1" a="1"/>
  <c r="H60" i="1"/>
  <c r="K59" i="1" a="1"/>
  <c r="K59" i="1"/>
  <c r="H58" i="1" a="1"/>
  <c r="H58" i="1"/>
  <c r="I53" i="1" a="1"/>
  <c r="I53" i="1" s="1"/>
  <c r="G58" i="1" a="1"/>
  <c r="G58" i="1" s="1"/>
  <c r="J58" i="1" a="1"/>
  <c r="J58" i="1"/>
  <c r="K60" i="1" a="1"/>
  <c r="K60" i="1"/>
  <c r="G60" i="1" a="1"/>
  <c r="G60" i="1"/>
  <c r="J59" i="1" a="1"/>
  <c r="J59" i="1" s="1"/>
  <c r="G59" i="1" a="1"/>
  <c r="G59" i="1" s="1"/>
  <c r="J57" i="1" a="1"/>
  <c r="J57" i="1"/>
  <c r="F57" i="1" a="1"/>
  <c r="F57" i="1"/>
  <c r="G57" i="1" a="1"/>
  <c r="G57" i="1" s="1"/>
  <c r="I60" i="1" a="1"/>
  <c r="I60" i="1" s="1"/>
  <c r="I59" i="1" a="1"/>
  <c r="I59" i="1" s="1"/>
  <c r="F59" i="1" a="1"/>
  <c r="F59" i="1" s="1"/>
  <c r="K58" i="1" a="1"/>
  <c r="K58" i="1" s="1"/>
  <c r="K57" i="1" a="1"/>
  <c r="K57" i="1"/>
  <c r="G53" i="1" a="1"/>
  <c r="G53" i="1" s="1"/>
  <c r="I57" i="1" a="1"/>
  <c r="I57" i="1" s="1"/>
  <c r="H53" i="1" a="1"/>
  <c r="H53" i="1"/>
  <c r="J53" i="1" a="1"/>
  <c r="J53" i="1"/>
  <c r="J60" i="1" a="1"/>
  <c r="J60" i="1"/>
  <c r="K53" i="1" a="1"/>
  <c r="K53" i="1" s="1"/>
  <c r="F58" i="1" a="1"/>
  <c r="F58" i="1" s="1"/>
  <c r="H57" i="1" a="1"/>
  <c r="H57" i="1" s="1"/>
  <c r="H59" i="1" a="1"/>
  <c r="H59" i="1" s="1"/>
  <c r="F60" i="1" a="1"/>
  <c r="F60" i="1" s="1"/>
  <c r="J51" i="1" a="1"/>
  <c r="J51" i="1" s="1"/>
  <c r="H51" i="1" a="1"/>
  <c r="H51" i="1" s="1"/>
  <c r="J50" i="1" a="1"/>
  <c r="J50" i="1"/>
  <c r="I50" i="1" a="1"/>
  <c r="I50" i="1"/>
  <c r="F51" i="1" a="1"/>
  <c r="F51" i="1"/>
  <c r="F50" i="1" a="1"/>
  <c r="F50" i="1" s="1"/>
  <c r="I51" i="1" a="1"/>
  <c r="I51" i="1"/>
  <c r="G51" i="1" a="1"/>
  <c r="G51" i="1" s="1"/>
  <c r="K50" i="1" a="1"/>
  <c r="K50" i="1" s="1"/>
  <c r="H50" i="1" a="1"/>
  <c r="H50" i="1" s="1"/>
  <c r="F53" i="1" a="1"/>
  <c r="F53" i="1" s="1"/>
  <c r="H52" i="1" a="1"/>
  <c r="H52" i="1" s="1"/>
  <c r="K52" i="1" a="1"/>
  <c r="K52" i="1"/>
  <c r="J52" i="1" a="1"/>
  <c r="J52" i="1" s="1"/>
  <c r="I52" i="1" a="1"/>
  <c r="I52" i="1"/>
  <c r="G50" i="1" a="1"/>
  <c r="G50" i="1" s="1"/>
  <c r="G52" i="1" a="1"/>
  <c r="G52" i="1" s="1"/>
  <c r="F52" i="1" a="1"/>
  <c r="F52" i="1" s="1"/>
  <c r="K51" i="1" a="1"/>
  <c r="K51" i="1" s="1"/>
  <c r="H15" i="1" a="1"/>
  <c r="H15" i="1" s="1"/>
  <c r="G15" i="1" a="1"/>
  <c r="G15" i="1" s="1"/>
  <c r="I14" i="1" a="1"/>
  <c r="I14" i="1" s="1"/>
  <c r="F15" i="1" a="1"/>
  <c r="F15" i="1"/>
  <c r="I15" i="1" a="1"/>
  <c r="I15" i="1" s="1"/>
  <c r="K15" i="1" a="1"/>
  <c r="K15" i="1" s="1"/>
  <c r="K14" i="1" a="1"/>
  <c r="K14" i="1" s="1"/>
  <c r="G14" i="1" a="1"/>
  <c r="G14" i="1" s="1"/>
  <c r="J15" i="1" a="1"/>
  <c r="J15" i="1" s="1"/>
  <c r="H14" i="1" a="1"/>
  <c r="H14" i="1" s="1"/>
  <c r="J14" i="1" a="1"/>
  <c r="J14" i="1" s="1"/>
  <c r="F14" i="1" a="1"/>
  <c r="F14" i="1" s="1"/>
  <c r="K13" i="1" a="1"/>
  <c r="K13" i="1" s="1"/>
  <c r="J13" i="1" a="1"/>
  <c r="J13" i="1"/>
  <c r="I13" i="1" a="1"/>
  <c r="I13" i="1" s="1"/>
  <c r="H13" i="1" a="1"/>
  <c r="H13" i="1" s="1"/>
  <c r="G13" i="1" a="1"/>
  <c r="G13" i="1" s="1"/>
  <c r="F13" i="1" a="1"/>
  <c r="F13" i="1" s="1"/>
  <c r="F54" i="1" a="1"/>
  <c r="F54" i="1" s="1"/>
  <c r="I54" i="1" a="1"/>
  <c r="I54" i="1" s="1"/>
  <c r="K54" i="1" a="1"/>
  <c r="K54" i="1" s="1"/>
  <c r="J54" i="1" a="1"/>
  <c r="J54" i="1" s="1"/>
  <c r="H54" i="1" a="1"/>
  <c r="H54" i="1" s="1"/>
  <c r="G54" i="1" a="1"/>
  <c r="G54" i="1"/>
  <c r="K48" i="1" a="1"/>
  <c r="K48" i="1"/>
  <c r="H41" i="1" a="1"/>
  <c r="H41" i="1" s="1"/>
  <c r="K41" i="1" a="1"/>
  <c r="K41" i="1" s="1"/>
  <c r="F42" i="1" a="1"/>
  <c r="F42" i="1"/>
  <c r="J48" i="1" a="1"/>
  <c r="J48" i="1" s="1"/>
  <c r="F48" i="1" a="1"/>
  <c r="F48" i="1" s="1"/>
  <c r="K42" i="1" a="1"/>
  <c r="K42" i="1" s="1"/>
  <c r="I48" i="1" a="1"/>
  <c r="I48" i="1" s="1"/>
  <c r="H48" i="1" a="1"/>
  <c r="H48" i="1" s="1"/>
  <c r="I41" i="1" a="1"/>
  <c r="I41" i="1"/>
  <c r="K43" i="1" a="1"/>
  <c r="K43" i="1"/>
  <c r="I43" i="1" a="1"/>
  <c r="I43" i="1"/>
  <c r="G48" i="1" a="1"/>
  <c r="G48" i="1" s="1"/>
  <c r="J42" i="1" a="1"/>
  <c r="J42" i="1"/>
  <c r="H43" i="1" a="1"/>
  <c r="H43" i="1"/>
  <c r="H42" i="1" a="1"/>
  <c r="H42" i="1" s="1"/>
  <c r="I42" i="1" a="1"/>
  <c r="I42" i="1" s="1"/>
  <c r="F43" i="1" a="1"/>
  <c r="F43" i="1" s="1"/>
  <c r="G42" i="1" a="1"/>
  <c r="G42" i="1" s="1"/>
  <c r="G43" i="1" a="1"/>
  <c r="G43" i="1"/>
  <c r="J41" i="1" a="1"/>
  <c r="J41" i="1"/>
  <c r="J43" i="1" a="1"/>
  <c r="J43" i="1"/>
  <c r="K25" i="1" a="1"/>
  <c r="K25" i="1" s="1"/>
  <c r="G26" i="1" a="1"/>
  <c r="G26" i="1" s="1"/>
  <c r="F26" i="1" a="1"/>
  <c r="F26" i="1"/>
  <c r="H28" i="1" a="1"/>
  <c r="H28" i="1"/>
  <c r="J26" i="1" a="1"/>
  <c r="J26" i="1" s="1"/>
  <c r="K28" i="1" a="1"/>
  <c r="K28" i="1" s="1"/>
  <c r="J27" i="1" a="1"/>
  <c r="J27" i="1" s="1"/>
  <c r="F27" i="1" a="1"/>
  <c r="F27" i="1"/>
  <c r="I27" i="1" a="1"/>
  <c r="I27" i="1"/>
  <c r="H26" i="1" a="1"/>
  <c r="H26" i="1"/>
  <c r="I28" i="1" a="1"/>
  <c r="I28" i="1" s="1"/>
  <c r="F28" i="1" a="1"/>
  <c r="F28" i="1" s="1"/>
  <c r="G28" i="1" a="1"/>
  <c r="G28" i="1" s="1"/>
  <c r="G27" i="1" a="1"/>
  <c r="G27" i="1"/>
  <c r="K27" i="1" a="1"/>
  <c r="K27" i="1"/>
  <c r="J28" i="1" a="1"/>
  <c r="J28" i="1" s="1"/>
  <c r="K26" i="1" a="1"/>
  <c r="K26" i="1" s="1"/>
  <c r="I26" i="1" a="1"/>
  <c r="I26" i="1"/>
  <c r="G41" i="1" a="1"/>
  <c r="G41" i="1"/>
  <c r="H27" i="1" a="1"/>
  <c r="H27" i="1"/>
  <c r="F41" i="1" a="1"/>
  <c r="F41" i="1" s="1"/>
  <c r="F16" i="1" a="1"/>
  <c r="F16" i="1" s="1"/>
  <c r="F21" i="1" a="1"/>
  <c r="F21" i="1" s="1"/>
  <c r="F24" i="1" a="1"/>
  <c r="F24" i="1" s="1"/>
  <c r="I21" i="1" a="1"/>
  <c r="I21" i="1"/>
  <c r="K21" i="1" a="1"/>
  <c r="K21" i="1"/>
  <c r="H21" i="1" a="1"/>
  <c r="H21" i="1" s="1"/>
  <c r="H17" i="1" a="1"/>
  <c r="H17" i="1" s="1"/>
  <c r="I16" i="1" a="1"/>
  <c r="I16" i="1"/>
  <c r="H16" i="1" a="1"/>
  <c r="H16" i="1"/>
  <c r="G16" i="1" a="1"/>
  <c r="G16" i="1" s="1"/>
  <c r="I17" i="1" a="1"/>
  <c r="I17" i="1" s="1"/>
  <c r="J17" i="1" a="1"/>
  <c r="J17" i="1" s="1"/>
  <c r="K17" i="1" a="1"/>
  <c r="K17" i="1" s="1"/>
  <c r="J25" i="1" a="1"/>
  <c r="J25" i="1" s="1"/>
  <c r="I25" i="1" a="1"/>
  <c r="I25" i="1"/>
  <c r="H25" i="1" a="1"/>
  <c r="H25" i="1" s="1"/>
  <c r="F25" i="1" a="1"/>
  <c r="F25" i="1"/>
  <c r="J24" i="1" a="1"/>
  <c r="J24" i="1"/>
  <c r="G24" i="1" a="1"/>
  <c r="G24" i="1"/>
  <c r="J16" i="1" a="1"/>
  <c r="J16" i="1" s="1"/>
  <c r="G17" i="1" a="1"/>
  <c r="G17" i="1" s="1"/>
  <c r="G21" i="1" a="1"/>
  <c r="G21" i="1" s="1"/>
  <c r="J21" i="1" a="1"/>
  <c r="J21" i="1" s="1"/>
  <c r="K16" i="1" a="1"/>
  <c r="K16" i="1" s="1"/>
  <c r="F17" i="1" a="1"/>
  <c r="F17" i="1" s="1"/>
  <c r="G25" i="1" a="1"/>
  <c r="G25" i="1" s="1"/>
  <c r="K24" i="1" a="1"/>
  <c r="K24" i="1" s="1"/>
  <c r="I24" i="1" a="1"/>
  <c r="I24" i="1" s="1"/>
  <c r="H24" i="1" a="1"/>
  <c r="H24" i="1"/>
  <c r="H10" i="1" a="1"/>
  <c r="H10" i="1" s="1"/>
  <c r="F10" i="1" a="1"/>
  <c r="F10" i="1" s="1"/>
  <c r="H6" i="1" a="1"/>
  <c r="H6" i="1" s="1"/>
  <c r="G7" i="1" a="1"/>
  <c r="G7" i="1" s="1"/>
  <c r="G6" i="1" a="1"/>
  <c r="G6" i="1" s="1"/>
  <c r="K9" i="1" a="1"/>
  <c r="K9" i="1" s="1"/>
  <c r="J9" i="1" a="1"/>
  <c r="J9" i="1" s="1"/>
  <c r="K7" i="1" a="1"/>
  <c r="K7" i="1" s="1"/>
  <c r="F6" i="1" a="1"/>
  <c r="F6" i="1" s="1"/>
  <c r="G10" i="1" a="1"/>
  <c r="G10" i="1"/>
  <c r="G5" i="1" a="1"/>
  <c r="G5" i="1" s="1"/>
  <c r="F4" i="1" a="1"/>
  <c r="F4" i="1" s="1"/>
  <c r="H7" i="1" a="1"/>
  <c r="H7" i="1" s="1"/>
  <c r="H5" i="1" a="1"/>
  <c r="H5" i="1" s="1"/>
  <c r="H4" i="1" a="1"/>
  <c r="H4" i="1" s="1"/>
  <c r="I4" i="1" a="1"/>
  <c r="I4" i="1" s="1"/>
  <c r="G9" i="1" a="1"/>
  <c r="G9" i="1" s="1"/>
  <c r="K6" i="1" a="1"/>
  <c r="K6" i="1"/>
  <c r="K4" i="1" a="1"/>
  <c r="K4" i="1" s="1"/>
  <c r="H9" i="1" a="1"/>
  <c r="H9" i="1" s="1"/>
  <c r="K11" i="1" a="1"/>
  <c r="K11" i="1" s="1"/>
  <c r="I9" i="1" a="1"/>
  <c r="I9" i="1"/>
  <c r="J11" i="1" a="1"/>
  <c r="J11" i="1" s="1"/>
  <c r="I7" i="1" a="1"/>
  <c r="I7" i="1" s="1"/>
  <c r="F9" i="1" a="1"/>
  <c r="F9" i="1" s="1"/>
  <c r="G11" i="1" a="1"/>
  <c r="G11" i="1" s="1"/>
  <c r="I5" i="1" a="1"/>
  <c r="I5" i="1" s="1"/>
  <c r="I11" i="1" a="1"/>
  <c r="I11" i="1"/>
  <c r="K10" i="1" a="1"/>
  <c r="K10" i="1"/>
  <c r="K5" i="1" a="1"/>
  <c r="K5" i="1" s="1"/>
  <c r="F7" i="1" a="1"/>
  <c r="F7" i="1" s="1"/>
  <c r="J7" i="1" a="1"/>
  <c r="J7" i="1"/>
  <c r="J6" i="1" a="1"/>
  <c r="J6" i="1"/>
  <c r="J5" i="1" a="1"/>
  <c r="J5" i="1" s="1"/>
  <c r="H11" i="1" a="1"/>
  <c r="H11" i="1" s="1"/>
  <c r="I6" i="1" a="1"/>
  <c r="I6" i="1" s="1"/>
  <c r="F11" i="1" a="1"/>
  <c r="F11" i="1" s="1"/>
  <c r="J4" i="1" a="1"/>
  <c r="J4" i="1"/>
  <c r="J10" i="1" a="1"/>
  <c r="J10" i="1"/>
  <c r="G4" i="1" a="1"/>
  <c r="G4" i="1"/>
  <c r="I10" i="1" a="1"/>
  <c r="I10" i="1" s="1"/>
  <c r="F5" i="1" a="1"/>
  <c r="F5" i="1"/>
  <c r="J239" i="1" l="1"/>
  <c r="J315" i="1"/>
  <c r="J470" i="1" s="1"/>
  <c r="F362" i="1"/>
  <c r="F272" i="1"/>
  <c r="F381" i="1"/>
  <c r="F512" i="1" s="1"/>
  <c r="H724" i="1" a="1"/>
  <c r="H724" i="1" s="1"/>
  <c r="H726" i="1" s="1" a="1"/>
  <c r="H726" i="1" s="1"/>
  <c r="H740" i="1" a="1"/>
  <c r="H740" i="1" s="1"/>
  <c r="H742" i="1" s="1" a="1"/>
  <c r="H742" i="1" s="1"/>
  <c r="H381" i="1"/>
  <c r="H512" i="1" s="1"/>
  <c r="J724" i="1" a="1"/>
  <c r="J724" i="1" s="1"/>
  <c r="J726" i="1" s="1" a="1"/>
  <c r="J726" i="1" s="1"/>
  <c r="J740" i="1" a="1"/>
  <c r="J740" i="1" s="1"/>
  <c r="J742" i="1" s="1" a="1"/>
  <c r="J742" i="1" s="1"/>
  <c r="K359" i="1"/>
  <c r="K426" i="1" s="1"/>
  <c r="K381" i="1"/>
  <c r="K512" i="1" s="1"/>
  <c r="K724" i="1" a="1"/>
  <c r="K724" i="1" s="1"/>
  <c r="K726" i="1" s="1" a="1"/>
  <c r="K726" i="1" s="1"/>
  <c r="K740" i="1" a="1"/>
  <c r="K740" i="1" s="1"/>
  <c r="K742" i="1" s="1" a="1"/>
  <c r="K742" i="1" s="1"/>
  <c r="I360" i="1"/>
  <c r="I427" i="1" s="1"/>
  <c r="J314" i="1"/>
  <c r="J469" i="1" s="1"/>
  <c r="K362" i="1"/>
  <c r="K272" i="1"/>
  <c r="K361" i="1" s="1"/>
  <c r="K502" i="1" s="1"/>
  <c r="F196" i="1"/>
  <c r="F359" i="1" s="1"/>
  <c r="F426" i="1" s="1"/>
  <c r="F360" i="1"/>
  <c r="F427" i="1" s="1"/>
  <c r="I313" i="1"/>
  <c r="I418" i="1" s="1"/>
  <c r="I117" i="1"/>
  <c r="G320" i="1"/>
  <c r="G475" i="1" s="1"/>
  <c r="G124" i="1"/>
  <c r="I381" i="1"/>
  <c r="I512" i="1" s="1"/>
  <c r="K384" i="1"/>
  <c r="K515" i="1" s="1"/>
  <c r="J362" i="1"/>
  <c r="K313" i="1"/>
  <c r="K418" i="1" s="1"/>
  <c r="G317" i="1"/>
  <c r="G472" i="1" s="1"/>
  <c r="G121" i="1"/>
  <c r="K127" i="1"/>
  <c r="K323" i="1"/>
  <c r="K478" i="1" s="1"/>
  <c r="G360" i="1"/>
  <c r="G427" i="1" s="1"/>
  <c r="H313" i="1"/>
  <c r="H418" i="1" s="1"/>
  <c r="H117" i="1"/>
  <c r="F127" i="1"/>
  <c r="G314" i="1"/>
  <c r="G469" i="1" s="1"/>
  <c r="G118" i="1"/>
  <c r="K320" i="1"/>
  <c r="K475" i="1" s="1"/>
  <c r="K124" i="1"/>
  <c r="K120" i="1"/>
  <c r="J317" i="1"/>
  <c r="J472" i="1" s="1"/>
  <c r="J121" i="1"/>
  <c r="F321" i="1"/>
  <c r="F476" i="1" s="1"/>
  <c r="J360" i="1"/>
  <c r="J427" i="1" s="1"/>
  <c r="I239" i="1"/>
  <c r="I314" i="1" s="1"/>
  <c r="I469" i="1" s="1"/>
  <c r="I118" i="1"/>
  <c r="K317" i="1"/>
  <c r="K472" i="1" s="1"/>
  <c r="K121" i="1"/>
  <c r="K360" i="1"/>
  <c r="K427" i="1" s="1"/>
  <c r="I312" i="1"/>
  <c r="I417" i="1" s="1"/>
  <c r="K781" i="1"/>
  <c r="K784" i="1"/>
  <c r="K785" i="1" s="1"/>
  <c r="F124" i="1"/>
  <c r="F320" i="1"/>
  <c r="F475" i="1" s="1"/>
  <c r="I740" i="1" a="1"/>
  <c r="I740" i="1" s="1"/>
  <c r="I742" i="1" s="1" a="1"/>
  <c r="I742" i="1" s="1"/>
  <c r="H321" i="1"/>
  <c r="H476" i="1" s="1"/>
  <c r="F361" i="1"/>
  <c r="F502" i="1" s="1"/>
  <c r="I121" i="1"/>
  <c r="G239" i="1"/>
  <c r="F313" i="1"/>
  <c r="F418" i="1" s="1"/>
  <c r="G318" i="1"/>
  <c r="G473" i="1" s="1"/>
  <c r="H239" i="1"/>
  <c r="F315" i="1"/>
  <c r="F470" i="1" s="1"/>
  <c r="H314" i="1"/>
  <c r="H469" i="1" s="1"/>
  <c r="G298" i="1"/>
  <c r="G411" i="1" s="1"/>
  <c r="I361" i="1"/>
  <c r="I502" i="1" s="1"/>
  <c r="H315" i="1"/>
  <c r="H470" i="1" s="1"/>
  <c r="F380" i="1"/>
  <c r="F511" i="1" s="1"/>
  <c r="I397" i="1"/>
  <c r="I517" i="1" s="1"/>
  <c r="J359" i="1"/>
  <c r="J426" i="1" s="1"/>
  <c r="F781" i="1"/>
  <c r="F724" i="1" a="1"/>
  <c r="F724" i="1" s="1"/>
  <c r="F726" i="1" s="1" a="1"/>
  <c r="F726" i="1" s="1"/>
  <c r="G319" i="1"/>
  <c r="G474" i="1" s="1"/>
  <c r="G123" i="1"/>
  <c r="I322" i="1"/>
  <c r="I477" i="1" s="1"/>
  <c r="I126" i="1"/>
  <c r="I380" i="1"/>
  <c r="I511" i="1" s="1"/>
  <c r="K117" i="1"/>
  <c r="J381" i="1"/>
  <c r="J512" i="1" s="1"/>
  <c r="G359" i="1"/>
  <c r="G426" i="1" s="1"/>
  <c r="I362" i="1"/>
  <c r="G384" i="1"/>
  <c r="G515" i="1" s="1"/>
  <c r="H323" i="1"/>
  <c r="H478" i="1" s="1"/>
  <c r="H316" i="1"/>
  <c r="H471" i="1" s="1"/>
  <c r="H120" i="1"/>
  <c r="J316" i="1"/>
  <c r="J471" i="1" s="1"/>
  <c r="I323" i="1"/>
  <c r="I478" i="1" s="1"/>
  <c r="J781" i="1"/>
  <c r="J784" i="1"/>
  <c r="J785" i="1" s="1"/>
  <c r="G381" i="1"/>
  <c r="G512" i="1" s="1"/>
  <c r="J900" i="1"/>
  <c r="J923" i="1"/>
  <c r="J922" i="1" s="1"/>
  <c r="J897" i="1"/>
  <c r="J901" i="1"/>
  <c r="J116" i="1"/>
  <c r="K116" i="1"/>
  <c r="I316" i="1"/>
  <c r="I471" i="1" s="1"/>
  <c r="H298" i="1"/>
  <c r="H411" i="1" s="1"/>
  <c r="I315" i="1"/>
  <c r="I470" i="1" s="1"/>
  <c r="H900" i="1"/>
  <c r="H923" i="1"/>
  <c r="H922" i="1" s="1"/>
  <c r="H897" i="1"/>
  <c r="H901" i="1"/>
  <c r="H362" i="1"/>
  <c r="K380" i="1"/>
  <c r="K511" i="1" s="1"/>
  <c r="I398" i="1"/>
  <c r="I518" i="1" s="1"/>
  <c r="G122" i="1"/>
  <c r="K126" i="1"/>
  <c r="F119" i="1"/>
  <c r="J122" i="1"/>
  <c r="F314" i="1"/>
  <c r="F469" i="1" s="1"/>
  <c r="H317" i="1"/>
  <c r="H472" i="1" s="1"/>
  <c r="J320" i="1"/>
  <c r="J475" i="1" s="1"/>
  <c r="H360" i="1"/>
  <c r="H427" i="1" s="1"/>
  <c r="J378" i="1"/>
  <c r="J435" i="1" s="1"/>
  <c r="F382" i="1"/>
  <c r="F513" i="1" s="1"/>
  <c r="H119" i="1"/>
  <c r="I901" i="1"/>
  <c r="G897" i="1"/>
  <c r="F893" i="1"/>
  <c r="K901" i="1"/>
  <c r="F319" i="1"/>
  <c r="F474" i="1" s="1"/>
  <c r="I897" i="1"/>
  <c r="K897" i="1"/>
  <c r="F923" i="1"/>
  <c r="F922" i="1" s="1"/>
  <c r="G923" i="1"/>
  <c r="G922" i="1" s="1"/>
  <c r="K923" i="1"/>
  <c r="K922" i="1" s="1"/>
  <c r="F900" i="1" l="1"/>
  <c r="F897" i="1"/>
  <c r="F901" i="1"/>
  <c r="C2029" i="1" l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 s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I1857" i="1" s="1"/>
  <c r="J1864" i="1"/>
  <c r="G1861" i="1"/>
  <c r="H1861" i="1"/>
  <c r="J1861" i="1"/>
  <c r="F1825" i="1"/>
  <c r="I1839" i="1"/>
  <c r="K1844" i="1"/>
  <c r="J1839" i="1"/>
  <c r="F1844" i="1"/>
  <c r="G1844" i="1"/>
  <c r="F1839" i="1"/>
  <c r="F1838" i="1" s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1838" i="1" l="1"/>
  <c r="H1838" i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G1651" i="1"/>
  <c r="H1651" i="1"/>
  <c r="I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H1657" i="1"/>
  <c r="G1657" i="1"/>
  <c r="I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H1569" i="1" l="1"/>
  <c r="I1569" i="1"/>
  <c r="G1616" i="1"/>
  <c r="G1569" i="1"/>
  <c r="H1616" i="1"/>
  <c r="F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H1561" i="1"/>
  <c r="G1601" i="1"/>
  <c r="G1554" i="1"/>
  <c r="F1608" i="1"/>
  <c r="I1608" i="1"/>
  <c r="F1601" i="1"/>
  <c r="G1561" i="1"/>
  <c r="I1561" i="1"/>
  <c r="F1561" i="1"/>
  <c r="H1608" i="1"/>
  <c r="F1554" i="1"/>
  <c r="I1554" i="1"/>
  <c r="G1608" i="1"/>
  <c r="I1601" i="1"/>
  <c r="H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H1510" i="1"/>
  <c r="G1510" i="1"/>
  <c r="F1510" i="1"/>
  <c r="G1427" i="1"/>
  <c r="F1413" i="1"/>
  <c r="I1427" i="1"/>
  <c r="H1413" i="1"/>
  <c r="H1427" i="1"/>
  <c r="G1413" i="1"/>
  <c r="I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I1329" i="1"/>
  <c r="F1329" i="1"/>
  <c r="H1343" i="1"/>
  <c r="I1343" i="1"/>
  <c r="F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182" i="1" l="1"/>
  <c r="G1205" i="1"/>
  <c r="I1182" i="1"/>
  <c r="G1182" i="1"/>
  <c r="H1205" i="1"/>
  <c r="I1205" i="1"/>
  <c r="F1205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F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C211" i="1"/>
  <c r="C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K1004" i="1" s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E710" i="1"/>
  <c r="C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K713" i="1"/>
  <c r="J713" i="1"/>
  <c r="C697" i="1"/>
  <c r="C698" i="1" s="1"/>
  <c r="C699" i="1" s="1"/>
  <c r="C700" i="1" s="1"/>
  <c r="C701" i="1" s="1"/>
  <c r="C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F713" i="1" l="1"/>
  <c r="G713" i="1"/>
  <c r="H713" i="1"/>
  <c r="I713" i="1"/>
  <c r="I730" i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F678" i="1"/>
  <c r="J693" i="1"/>
  <c r="I693" i="1"/>
  <c r="K684" i="1"/>
  <c r="F693" i="1"/>
  <c r="H693" i="1"/>
  <c r="G678" i="1"/>
  <c r="K693" i="1"/>
  <c r="F684" i="1"/>
  <c r="K678" i="1"/>
  <c r="H678" i="1"/>
  <c r="I678" i="1"/>
  <c r="J684" i="1"/>
  <c r="C680" i="1"/>
  <c r="C663" i="1"/>
  <c r="C682" i="1"/>
  <c r="C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47" i="1"/>
  <c r="J744" i="1"/>
  <c r="J74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50" i="1" l="1"/>
  <c r="J749" i="1"/>
  <c r="J752" i="1"/>
  <c r="J753" i="1"/>
  <c r="J751" i="1"/>
  <c r="J754" i="1"/>
  <c r="K622" i="1"/>
  <c r="J622" i="1"/>
  <c r="C783" i="1"/>
  <c r="C784" i="1" s="1"/>
  <c r="C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H10" i="4" l="1"/>
  <c r="C10" i="4"/>
  <c r="G10" i="4"/>
  <c r="F10" i="4"/>
  <c r="E10" i="4"/>
  <c r="D10" i="4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K504" i="1"/>
  <c r="J504" i="1"/>
  <c r="I504" i="1"/>
  <c r="H504" i="1"/>
  <c r="G504" i="1"/>
  <c r="F504" i="1"/>
  <c r="C895" i="1" l="1"/>
  <c r="C896" i="1" s="1"/>
  <c r="C897" i="1" s="1"/>
  <c r="C894" i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C899" i="1"/>
  <c r="C900" i="1" s="1"/>
  <c r="C898" i="1"/>
  <c r="C953" i="1" l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C920" i="1" l="1"/>
  <c r="C921" i="1" s="1"/>
  <c r="C922" i="1" s="1"/>
  <c r="C970" i="1" s="1"/>
  <c r="C971" i="1" s="1"/>
  <c r="C918" i="1"/>
  <c r="C919" i="1" s="1"/>
  <c r="C923" i="1" l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6" i="1" l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C1150" i="1" l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C1156" i="1" l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J892" i="1"/>
  <c r="J898" i="1"/>
  <c r="I892" i="1"/>
  <c r="I898" i="1"/>
  <c r="H892" i="1"/>
  <c r="H898" i="1"/>
  <c r="G892" i="1"/>
  <c r="G898" i="1"/>
  <c r="K892" i="1"/>
  <c r="K898" i="1"/>
  <c r="C1206" i="1" l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C1506" i="1" l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C1753" i="1" l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F890" i="1"/>
  <c r="G890" i="1"/>
  <c r="H890" i="1"/>
  <c r="I890" i="1"/>
  <c r="J890" i="1"/>
  <c r="K890" i="1"/>
  <c r="C1788" i="1" l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C1809" i="1" l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G1041" i="1"/>
  <c r="F1041" i="1"/>
  <c r="F1093" i="1" s="1"/>
  <c r="K1093" i="1"/>
  <c r="K1094" i="1"/>
  <c r="K1095" i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H1045" i="1" l="1"/>
  <c r="H1069" i="1"/>
  <c r="G1068" i="1"/>
  <c r="G1095" i="1"/>
  <c r="G1094" i="1"/>
  <c r="G1093" i="1"/>
  <c r="G1045" i="1"/>
  <c r="G1069" i="1"/>
  <c r="H1068" i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615" i="1" l="1"/>
  <c r="G1568" i="1"/>
  <c r="G1426" i="1"/>
  <c r="G1342" i="1"/>
  <c r="G1204" i="1"/>
  <c r="I1568" i="1"/>
  <c r="I1567" i="1" s="1"/>
  <c r="I1566" i="1" s="1"/>
  <c r="I1615" i="1"/>
  <c r="I1614" i="1" s="1"/>
  <c r="I1613" i="1" s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615" i="1"/>
  <c r="F1426" i="1"/>
  <c r="F1342" i="1"/>
  <c r="F1204" i="1"/>
  <c r="H1568" i="1"/>
  <c r="H1567" i="1" s="1"/>
  <c r="H1566" i="1" s="1"/>
  <c r="H1615" i="1"/>
  <c r="H1614" i="1" s="1"/>
  <c r="H1613" i="1" s="1"/>
  <c r="H1426" i="1"/>
  <c r="H1425" i="1" s="1"/>
  <c r="H1424" i="1" s="1"/>
  <c r="H1342" i="1"/>
  <c r="H1341" i="1" s="1"/>
  <c r="H1340" i="1" s="1"/>
  <c r="H1204" i="1"/>
  <c r="H1203" i="1" s="1"/>
  <c r="H1202" i="1" s="1"/>
  <c r="G1614" i="1"/>
  <c r="G1613" i="1" s="1"/>
  <c r="G1567" i="1"/>
  <c r="G1566" i="1" s="1"/>
  <c r="G1425" i="1"/>
  <c r="G1424" i="1" s="1"/>
  <c r="G1341" i="1"/>
  <c r="G1340" i="1" s="1"/>
  <c r="G1203" i="1"/>
  <c r="G1202" i="1" s="1"/>
  <c r="F1614" i="1"/>
  <c r="F1613" i="1" s="1"/>
  <c r="F1567" i="1"/>
  <c r="F1566" i="1" s="1"/>
  <c r="F1425" i="1"/>
  <c r="F1424" i="1" s="1"/>
  <c r="F1341" i="1"/>
  <c r="F1340" i="1" s="1"/>
  <c r="F1203" i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615" i="1" l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427" i="1" l="1"/>
  <c r="K1343" i="1"/>
  <c r="K1569" i="1"/>
  <c r="K1205" i="1"/>
  <c r="K1616" i="1"/>
  <c r="K1204" i="1"/>
  <c r="K1342" i="1"/>
  <c r="K1426" i="1"/>
  <c r="K1615" i="1"/>
  <c r="K1568" i="1"/>
  <c r="J1616" i="1"/>
  <c r="J1427" i="1"/>
  <c r="J1343" i="1"/>
  <c r="J1205" i="1"/>
  <c r="J1569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H1650" i="1" l="1"/>
  <c r="H1600" i="1"/>
  <c r="H1553" i="1"/>
  <c r="H1509" i="1"/>
  <c r="H1158" i="1"/>
  <c r="F1650" i="1"/>
  <c r="F1649" i="1" s="1"/>
  <c r="F1600" i="1"/>
  <c r="F1599" i="1" s="1"/>
  <c r="F1598" i="1" s="1"/>
  <c r="F1553" i="1"/>
  <c r="F1552" i="1" s="1"/>
  <c r="F1551" i="1" s="1"/>
  <c r="F1509" i="1"/>
  <c r="F1508" i="1" s="1"/>
  <c r="F1507" i="1" s="1"/>
  <c r="F1158" i="1"/>
  <c r="F1157" i="1" s="1"/>
  <c r="F1156" i="1" s="1"/>
  <c r="G1650" i="1"/>
  <c r="G1600" i="1"/>
  <c r="G1553" i="1"/>
  <c r="G1509" i="1"/>
  <c r="G1158" i="1"/>
  <c r="H1656" i="1"/>
  <c r="H1607" i="1"/>
  <c r="H1606" i="1" s="1"/>
  <c r="H1605" i="1" s="1"/>
  <c r="H1560" i="1"/>
  <c r="H1559" i="1" s="1"/>
  <c r="H1558" i="1" s="1"/>
  <c r="H1412" i="1"/>
  <c r="H1411" i="1" s="1"/>
  <c r="H1410" i="1" s="1"/>
  <c r="H1328" i="1"/>
  <c r="H1327" i="1" s="1"/>
  <c r="H1326" i="1" s="1"/>
  <c r="H1181" i="1"/>
  <c r="I1650" i="1"/>
  <c r="I1600" i="1"/>
  <c r="I1553" i="1"/>
  <c r="I1509" i="1"/>
  <c r="I1158" i="1"/>
  <c r="I1157" i="1" s="1"/>
  <c r="I1156" i="1" s="1"/>
  <c r="F1656" i="1"/>
  <c r="F1560" i="1"/>
  <c r="F1607" i="1"/>
  <c r="F1412" i="1"/>
  <c r="F1328" i="1"/>
  <c r="F1181" i="1"/>
  <c r="F1180" i="1" s="1"/>
  <c r="F1179" i="1" s="1"/>
  <c r="G1656" i="1"/>
  <c r="G1607" i="1"/>
  <c r="G1606" i="1" s="1"/>
  <c r="G1605" i="1" s="1"/>
  <c r="G1560" i="1"/>
  <c r="G1559" i="1" s="1"/>
  <c r="G1558" i="1" s="1"/>
  <c r="G1412" i="1"/>
  <c r="G1411" i="1" s="1"/>
  <c r="G1410" i="1" s="1"/>
  <c r="G1328" i="1"/>
  <c r="G1327" i="1" s="1"/>
  <c r="G1326" i="1" s="1"/>
  <c r="G1181" i="1"/>
  <c r="G1180" i="1" s="1"/>
  <c r="G1179" i="1" s="1"/>
  <c r="I1656" i="1"/>
  <c r="I1607" i="1"/>
  <c r="I1606" i="1" s="1"/>
  <c r="I1605" i="1" s="1"/>
  <c r="I1560" i="1"/>
  <c r="I1412" i="1"/>
  <c r="I1328" i="1"/>
  <c r="I1181" i="1"/>
  <c r="I1180" i="1" s="1"/>
  <c r="I1179" i="1" s="1"/>
  <c r="I1552" i="1"/>
  <c r="I1551" i="1" s="1"/>
  <c r="I1599" i="1"/>
  <c r="I1598" i="1" s="1"/>
  <c r="H1649" i="1"/>
  <c r="H1157" i="1"/>
  <c r="H1156" i="1" s="1"/>
  <c r="H1552" i="1"/>
  <c r="H1551" i="1" s="1"/>
  <c r="H1599" i="1"/>
  <c r="H1598" i="1" s="1"/>
  <c r="H1508" i="1"/>
  <c r="H1507" i="1" s="1"/>
  <c r="G1649" i="1"/>
  <c r="G1599" i="1"/>
  <c r="G1598" i="1" s="1"/>
  <c r="G1552" i="1"/>
  <c r="G1551" i="1" s="1"/>
  <c r="G1508" i="1"/>
  <c r="G1507" i="1" s="1"/>
  <c r="G1157" i="1"/>
  <c r="G1156" i="1" s="1"/>
  <c r="I1559" i="1"/>
  <c r="I1558" i="1" s="1"/>
  <c r="I1327" i="1"/>
  <c r="I1326" i="1" s="1"/>
  <c r="I1411" i="1"/>
  <c r="I1410" i="1" s="1"/>
  <c r="H1180" i="1"/>
  <c r="H1179" i="1" s="1"/>
  <c r="F1559" i="1"/>
  <c r="F1558" i="1" s="1"/>
  <c r="F1411" i="1"/>
  <c r="F1410" i="1" s="1"/>
  <c r="F1327" i="1"/>
  <c r="F1326" i="1" s="1"/>
  <c r="F1606" i="1"/>
  <c r="F1605" i="1" s="1"/>
  <c r="I1649" i="1"/>
  <c r="I1508" i="1"/>
  <c r="I1507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412" i="1" l="1"/>
  <c r="J1328" i="1"/>
  <c r="J1181" i="1"/>
  <c r="K1656" i="1"/>
  <c r="K1607" i="1"/>
  <c r="K1560" i="1"/>
  <c r="K1412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J22" i="1"/>
  <c r="I22" i="1"/>
  <c r="H22" i="1"/>
  <c r="J32" i="1"/>
  <c r="J1718" i="1" s="1"/>
  <c r="K32" i="1"/>
  <c r="K1718" i="1" s="1"/>
  <c r="J36" i="1"/>
  <c r="J1607" i="1" s="1"/>
  <c r="K36" i="1"/>
  <c r="K1601" i="1" l="1"/>
  <c r="K1651" i="1"/>
  <c r="K1554" i="1"/>
  <c r="K1159" i="1"/>
  <c r="K1510" i="1"/>
  <c r="J1554" i="1"/>
  <c r="J1601" i="1"/>
  <c r="J1651" i="1"/>
  <c r="J1510" i="1"/>
  <c r="J1159" i="1"/>
  <c r="K1509" i="1"/>
  <c r="K1650" i="1"/>
  <c r="J1650" i="1"/>
  <c r="K1553" i="1"/>
  <c r="K1552" i="1" s="1"/>
  <c r="K1551" i="1" s="1"/>
  <c r="J1553" i="1"/>
  <c r="J1509" i="1"/>
  <c r="J1600" i="1"/>
  <c r="K1158" i="1"/>
  <c r="J1158" i="1"/>
  <c r="J1157" i="1" s="1"/>
  <c r="J1156" i="1" s="1"/>
  <c r="K1182" i="1"/>
  <c r="K1561" i="1"/>
  <c r="K1329" i="1"/>
  <c r="K1413" i="1"/>
  <c r="K1608" i="1"/>
  <c r="K1657" i="1"/>
  <c r="J1329" i="1"/>
  <c r="J1182" i="1"/>
  <c r="J1561" i="1"/>
  <c r="J1608" i="1"/>
  <c r="J1413" i="1"/>
  <c r="J1657" i="1"/>
  <c r="K1181" i="1"/>
  <c r="J1560" i="1"/>
  <c r="K1600" i="1"/>
  <c r="K1328" i="1"/>
  <c r="J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44" i="1"/>
  <c r="A46" i="1" s="1"/>
  <c r="J1648" i="1" l="1"/>
  <c r="J1654" i="1"/>
  <c r="K1654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<sst xmlns="http://schemas.openxmlformats.org/spreadsheetml/2006/main" count="4271" uniqueCount="2180">
  <si>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</si>
  <si>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</si>
  <si>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</si>
  <si>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</si>
  <si>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</si>
  <si>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</si>
  <si>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</si>
  <si>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</si>
  <si>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</si>
  <si>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</si>
  <si>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</si>
  <si>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</si>
  <si>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</si>
  <si>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</si>
  <si>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</si>
  <si>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</si>
  <si>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</si>
  <si>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</si>
  <si>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</si>
  <si>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</si>
  <si>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</si>
  <si>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</si>
  <si>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</si>
  <si>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</si>
  <si>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</si>
  <si>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</si>
  <si>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</si>
  <si>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</si>
  <si>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</si>
  <si>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</si>
  <si>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</si>
  <si>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</si>
  <si>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</si>
  <si>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</si>
  <si>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</si>
  <si>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</si>
  <si>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</si>
  <si>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</si>
  <si>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</si>
  <si>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</si>
  <si>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</si>
  <si>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</si>
  <si>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</si>
  <si>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</si>
  <si>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</si>
  <si>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</si>
  <si>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</si>
  <si>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</si>
  <si>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</si>
  <si>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</si>
  <si>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</si>
  <si>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</si>
  <si>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</si>
  <si>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</si>
  <si>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</si>
  <si>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</si>
  <si>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</si>
  <si>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</si>
  <si>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</si>
  <si>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</si>
  <si>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</si>
  <si>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</si>
  <si>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</si>
  <si>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</si>
  <si>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</si>
  <si>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</si>
  <si>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</si>
  <si>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</si>
  <si>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</si>
  <si>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</si>
  <si>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</si>
  <si>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</si>
  <si>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</si>
  <si>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</si>
  <si>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</si>
  <si>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</si>
  <si>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</si>
  <si>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</si>
  <si>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</si>
  <si>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</si>
  <si>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</si>
  <si>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</si>
  <si>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</si>
  <si>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</si>
  <si>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</si>
  <si>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</si>
  <si>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</si>
  <si>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</si>
  <si>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</si>
  <si>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</si>
  <si>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</si>
  <si>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</si>
  <si>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</si>
  <si>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</si>
  <si>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</si>
  <si>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</si>
  <si>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</si>
  <si>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</si>
  <si>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</si>
  <si>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</si>
  <si>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</si>
  <si>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</si>
  <si>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</si>
  <si>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</si>
  <si>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</si>
  <si>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</si>
  <si>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</si>
  <si>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</si>
  <si>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</si>
  <si>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</si>
  <si>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</si>
  <si>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</si>
  <si>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</si>
  <si>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</si>
  <si>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</si>
  <si>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</si>
  <si>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</si>
  <si>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</si>
  <si>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</si>
  <si>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</si>
  <si>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</si>
  <si>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</si>
  <si>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</si>
  <si>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</si>
  <si>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</si>
  <si>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</si>
  <si>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</si>
  <si>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</si>
  <si>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</si>
  <si>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</si>
  <si>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</si>
  <si>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</si>
  <si>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</si>
  <si>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</si>
  <si>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</si>
  <si>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</si>
  <si>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</si>
  <si>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</si>
  <si>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</si>
  <si>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</si>
  <si>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</si>
  <si>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</si>
  <si>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</si>
  <si>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</si>
  <si>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</si>
  <si>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</si>
  <si>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</si>
  <si>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</si>
  <si>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</si>
  <si>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</si>
  <si>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</si>
  <si>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</si>
  <si>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</si>
  <si>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</si>
  <si>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</si>
  <si>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</si>
  <si>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</si>
  <si>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</si>
  <si>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</si>
  <si>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</si>
  <si>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</si>
  <si>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</si>
  <si>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</si>
  <si>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</si>
  <si>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</si>
  <si>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</si>
  <si>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</si>
  <si>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</si>
  <si>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</si>
  <si>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</si>
  <si>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</si>
  <si>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</si>
  <si>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</si>
  <si>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</si>
  <si>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</si>
  <si>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</si>
  <si>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</si>
  <si>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</si>
  <si>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</si>
  <si>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</si>
  <si>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</si>
  <si>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</si>
  <si>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</si>
  <si>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</si>
  <si>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</si>
  <si>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</si>
  <si>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</si>
  <si>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</si>
  <si>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</si>
  <si>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</si>
  <si>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</si>
  <si>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</si>
  <si>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</si>
  <si>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</si>
  <si>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</si>
  <si>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</si>
  <si>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</si>
  <si>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</si>
  <si>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</si>
  <si>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</si>
  <si>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</si>
  <si>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</si>
  <si>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</si>
  <si>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</si>
  <si>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</si>
  <si>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</si>
  <si>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</si>
  <si>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</si>
  <si>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</si>
  <si>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</si>
  <si>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</si>
  <si>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</si>
  <si>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</si>
  <si>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</si>
  <si>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</si>
  <si>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</si>
  <si>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</si>
  <si>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</si>
  <si>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</si>
  <si>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</si>
  <si>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</si>
  <si>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</si>
  <si>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</si>
  <si>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</si>
  <si>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</si>
  <si>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</si>
  <si>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</si>
  <si>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</si>
  <si>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</si>
  <si>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</si>
  <si>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</si>
  <si>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</si>
  <si>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</si>
  <si>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</si>
  <si>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</si>
  <si>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</si>
  <si>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</si>
  <si>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</si>
  <si>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</si>
  <si>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</si>
  <si>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</si>
  <si>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</si>
  <si>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</si>
  <si>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</si>
  <si>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</si>
  <si>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</si>
  <si>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</si>
  <si>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</si>
  <si>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</si>
  <si>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</si>
  <si>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</si>
  <si>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</si>
  <si>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</si>
  <si>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</si>
  <si>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</si>
  <si>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</si>
  <si>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</si>
  <si>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</si>
  <si>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</si>
  <si>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</si>
  <si>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</si>
  <si>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</si>
  <si>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</si>
  <si>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</si>
  <si>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</si>
  <si>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</si>
  <si>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</si>
  <si>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</si>
  <si>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</si>
  <si>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</si>
  <si>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</si>
  <si>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</si>
  <si>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</si>
  <si>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</si>
  <si>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</si>
  <si>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</si>
  <si>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</si>
  <si>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</si>
  <si>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</si>
  <si>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</si>
  <si>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</si>
  <si>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</si>
  <si>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</si>
  <si>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</si>
  <si>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</si>
  <si>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</si>
  <si>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</si>
  <si>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</si>
  <si>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</si>
  <si>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</si>
  <si>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</si>
  <si>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</si>
  <si>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</si>
  <si>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</si>
  <si>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</si>
  <si>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</si>
  <si>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</si>
  <si>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</si>
  <si>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</si>
  <si>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</si>
  <si>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</si>
  <si>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</si>
  <si>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</si>
  <si>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</si>
  <si>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</si>
  <si>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</si>
  <si>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</si>
  <si>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</si>
  <si>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</si>
  <si>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</si>
  <si>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</si>
  <si>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</si>
  <si>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</si>
  <si>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</si>
  <si>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</si>
  <si>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</si>
  <si>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</si>
  <si>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</si>
  <si>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</si>
  <si>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</si>
  <si>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</si>
  <si>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</si>
  <si>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</si>
  <si>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</si>
  <si>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</si>
  <si>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</si>
  <si>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</si>
  <si>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</si>
  <si>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</si>
  <si>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</si>
  <si>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</si>
  <si>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</si>
  <si>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</si>
  <si>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</si>
  <si>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</si>
  <si>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</si>
  <si>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</si>
  <si>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</si>
  <si>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</si>
  <si>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</si>
  <si>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</si>
  <si>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</si>
  <si>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</si>
  <si>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</si>
  <si>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</si>
  <si>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</si>
  <si>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</si>
  <si>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</si>
  <si>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</si>
  <si>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</si>
  <si>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</si>
  <si>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</si>
  <si>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</si>
  <si>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</si>
  <si>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</si>
  <si>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</si>
  <si>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</si>
  <si>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</si>
  <si>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</si>
  <si>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</si>
  <si>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</si>
  <si>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</si>
  <si>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</si>
  <si>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</si>
  <si>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</si>
  <si>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</si>
  <si>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</si>
  <si>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</si>
  <si>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</si>
  <si>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</si>
  <si>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</si>
  <si>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</si>
  <si>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</si>
  <si>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</si>
  <si>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</si>
  <si>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</si>
  <si>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</si>
  <si>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</si>
  <si>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</si>
  <si>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</si>
  <si>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</si>
  <si>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</si>
  <si>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</si>
  <si>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</si>
  <si>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</si>
  <si>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</si>
  <si>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</si>
  <si>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</si>
  <si>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</si>
  <si>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</si>
  <si>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</si>
  <si>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</si>
  <si>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</si>
  <si>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</si>
  <si>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</si>
  <si>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</si>
  <si>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</si>
  <si>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</si>
  <si>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</si>
  <si>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</si>
  <si>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</si>
  <si>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</si>
  <si>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</si>
  <si>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</si>
  <si>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</si>
  <si>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</si>
  <si>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</si>
  <si>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</si>
  <si>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</si>
  <si>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</si>
  <si>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</si>
  <si>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</si>
  <si>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</si>
  <si>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</si>
  <si>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</si>
  <si>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</si>
  <si>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</si>
  <si>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</si>
  <si>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</si>
  <si>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</si>
  <si>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</si>
  <si>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</si>
  <si>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</si>
  <si>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</si>
  <si>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</si>
  <si>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</si>
  <si>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</si>
  <si>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</si>
  <si>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</si>
  <si>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</si>
  <si>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</si>
  <si>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</si>
  <si>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</si>
  <si>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</si>
  <si>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</si>
  <si>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</si>
  <si>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</si>
  <si>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</si>
  <si>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</si>
  <si>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</si>
  <si>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</si>
  <si>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</si>
  <si>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</si>
  <si>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</si>
  <si>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</si>
  <si>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</si>
  <si>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</si>
  <si>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</si>
  <si>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</si>
  <si>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</si>
  <si>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</si>
  <si>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</si>
  <si>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</si>
  <si>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</si>
  <si>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</si>
  <si>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</si>
  <si>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</si>
  <si>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</si>
  <si>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</si>
  <si>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</si>
  <si>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</si>
  <si>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</si>
  <si>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</si>
  <si>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</si>
  <si>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</si>
  <si>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</si>
  <si>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</si>
  <si>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</si>
  <si>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</si>
  <si>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</si>
  <si>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</si>
  <si>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</si>
  <si>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</si>
  <si>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</si>
  <si>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</si>
  <si>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</si>
  <si>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</si>
  <si>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</si>
  <si>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</si>
  <si>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</si>
  <si>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</si>
  <si>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</si>
  <si>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</si>
  <si>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</si>
  <si>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</si>
  <si>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</si>
  <si>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</si>
  <si>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</si>
  <si>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</si>
  <si>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</si>
  <si>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</si>
  <si>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</si>
  <si>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</si>
  <si>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</si>
  <si>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</si>
  <si>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</si>
  <si>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</si>
  <si>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</si>
  <si>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</si>
  <si>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</si>
  <si>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</si>
  <si>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</si>
  <si>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</si>
  <si>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</si>
  <si>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</si>
  <si>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</si>
  <si>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</si>
  <si>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</si>
  <si>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</si>
  <si>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</si>
  <si>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</si>
  <si>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</si>
  <si>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</si>
  <si>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</si>
  <si>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</si>
  <si>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</si>
  <si>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</si>
  <si>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</si>
  <si>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</si>
  <si>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</si>
  <si>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</si>
  <si>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</si>
  <si>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</si>
  <si>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</si>
  <si>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</si>
  <si>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</si>
  <si>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</si>
  <si>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</si>
  <si>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</si>
  <si>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</si>
  <si>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</si>
  <si>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</si>
  <si>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</si>
  <si>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</si>
  <si>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</si>
  <si>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</si>
  <si>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</si>
  <si>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</si>
  <si>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</si>
  <si>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</si>
  <si>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</si>
  <si>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</si>
  <si>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</si>
  <si>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</si>
  <si>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</si>
  <si>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</si>
  <si>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</si>
  <si>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</si>
  <si>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</si>
  <si>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</si>
  <si>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</si>
  <si>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</si>
  <si>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</si>
  <si>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</si>
  <si>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</si>
  <si>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</si>
  <si>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</si>
  <si>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</si>
  <si>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</si>
  <si>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</si>
  <si>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</si>
  <si>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</si>
  <si>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</si>
  <si>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</si>
  <si>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</si>
  <si>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</si>
  <si>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</si>
  <si>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</si>
  <si>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</si>
  <si>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</si>
  <si>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</si>
  <si>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</si>
  <si>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</si>
  <si>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</si>
  <si>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</si>
  <si>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</si>
  <si>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</si>
  <si>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</si>
  <si>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</si>
  <si>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</si>
  <si>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</si>
  <si>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</si>
  <si>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</si>
  <si>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</si>
  <si>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</si>
  <si>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</si>
  <si>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</si>
  <si>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</si>
  <si>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</si>
  <si>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</si>
  <si>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</si>
  <si>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</si>
  <si>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</si>
  <si>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</si>
  <si>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</si>
  <si>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</si>
  <si>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</si>
  <si>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</si>
  <si>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</si>
  <si>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</si>
  <si>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</si>
  <si>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</si>
  <si>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</si>
  <si>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</si>
  <si>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</si>
  <si>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</si>
  <si>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</si>
  <si>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</si>
  <si>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</si>
  <si>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</si>
  <si>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</si>
  <si>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</si>
  <si>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</si>
  <si>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</si>
  <si>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</si>
  <si>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</si>
  <si>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</si>
  <si>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</si>
  <si>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</si>
  <si>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</si>
  <si>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</si>
  <si>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</si>
  <si>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</si>
  <si>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</si>
  <si>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</si>
  <si>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</si>
  <si>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</si>
  <si>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</si>
  <si>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</si>
  <si>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</si>
  <si>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</si>
  <si>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</si>
  <si>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</si>
  <si>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</si>
  <si>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</si>
  <si>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</si>
  <si>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</si>
  <si>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</si>
  <si>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</si>
  <si>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</si>
  <si>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</si>
  <si>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</si>
  <si>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</si>
  <si>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</si>
  <si>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</si>
  <si>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</si>
  <si>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</si>
  <si>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</si>
  <si>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</si>
  <si>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</si>
  <si>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</si>
  <si>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</si>
  <si>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</si>
  <si>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</si>
  <si>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</si>
  <si>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</si>
  <si>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</si>
  <si>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</si>
  <si>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</si>
  <si>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</si>
  <si>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</si>
  <si>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</si>
  <si>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</si>
  <si>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</si>
  <si>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</si>
  <si>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</si>
  <si>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</si>
  <si>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</si>
  <si>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</si>
  <si>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</si>
  <si>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</si>
  <si>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</si>
  <si>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</si>
  <si>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</si>
  <si>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</si>
  <si>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</si>
  <si>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</si>
  <si>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</si>
  <si>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</si>
  <si>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</si>
  <si>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</si>
  <si>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</si>
  <si>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</si>
  <si>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</si>
  <si>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</si>
  <si>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</si>
  <si>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</si>
  <si>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</si>
  <si>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</si>
  <si>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</si>
  <si>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</si>
  <si>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</si>
  <si>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</si>
  <si>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</si>
  <si>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</si>
  <si>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</si>
  <si>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</si>
  <si>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</si>
  <si>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</si>
  <si>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</si>
  <si>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</si>
  <si>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</si>
  <si>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</si>
  <si>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</si>
  <si>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</si>
  <si>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</si>
  <si>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</si>
  <si>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</si>
  <si>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</si>
  <si>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</si>
  <si>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</si>
  <si>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</si>
  <si>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</si>
  <si>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</si>
  <si>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</si>
  <si>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</si>
  <si>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</si>
  <si>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</si>
  <si>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</si>
  <si>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</si>
  <si>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</si>
  <si>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</si>
  <si>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</si>
  <si>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</si>
  <si>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</si>
  <si>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</si>
  <si>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</si>
  <si>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</si>
  <si>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</si>
  <si>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</si>
  <si>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</si>
  <si>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</si>
  <si>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</si>
  <si>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</si>
  <si>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</si>
  <si>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</si>
  <si>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</si>
  <si>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</si>
  <si>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</si>
  <si>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</si>
  <si>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</si>
  <si>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</si>
  <si>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</si>
  <si>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</si>
  <si>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</si>
  <si>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</si>
  <si>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</si>
  <si>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</si>
  <si>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</si>
  <si>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</si>
  <si>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</si>
  <si>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</si>
  <si>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</si>
  <si>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</si>
  <si>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</si>
  <si>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</si>
  <si>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</si>
  <si>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</si>
  <si>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</si>
  <si>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</si>
  <si>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</si>
  <si>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</si>
  <si>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</si>
  <si>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</si>
  <si>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</si>
  <si>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</si>
  <si>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</si>
  <si>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</si>
  <si>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</si>
  <si>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</si>
  <si>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</si>
  <si>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</si>
  <si>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</si>
  <si>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</si>
  <si>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</si>
  <si>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</si>
  <si>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</si>
  <si>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</si>
  <si>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</si>
  <si>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</si>
  <si>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</si>
  <si>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</si>
  <si>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</si>
  <si>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</si>
  <si>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</si>
  <si>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</si>
  <si>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</si>
  <si>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</si>
  <si>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</si>
  <si>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</si>
  <si>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</si>
  <si>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</si>
  <si>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</si>
  <si>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</si>
  <si>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</si>
  <si>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</si>
  <si>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</si>
  <si>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</si>
  <si>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</si>
  <si>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</si>
  <si>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</si>
  <si>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</si>
  <si>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</si>
  <si>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</si>
  <si>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</si>
  <si>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</si>
  <si>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</si>
  <si>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</si>
  <si>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</si>
  <si>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</si>
  <si>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</si>
  <si>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</si>
  <si>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</si>
  <si>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</si>
  <si>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</si>
  <si>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</si>
  <si>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</si>
  <si>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</si>
  <si>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</si>
  <si>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</si>
  <si>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</si>
  <si>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</si>
  <si>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</si>
  <si>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</si>
  <si>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</si>
  <si>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</si>
  <si>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</si>
  <si>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</si>
  <si>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</si>
  <si>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</si>
  <si>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</si>
  <si>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</si>
  <si>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</si>
  <si>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</si>
  <si>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</si>
  <si>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</si>
  <si>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</si>
  <si>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</si>
  <si>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</si>
  <si>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</si>
  <si>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</si>
  <si>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</si>
  <si>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</si>
  <si>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</si>
  <si>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</si>
  <si>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</si>
  <si>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</si>
  <si>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</si>
  <si>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</si>
  <si>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</si>
  <si>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</si>
  <si>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</si>
  <si>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</si>
  <si>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</si>
  <si>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</si>
  <si>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</si>
  <si>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</si>
  <si>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</si>
  <si>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</si>
  <si>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</si>
  <si>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</si>
  <si>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</si>
  <si>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</si>
  <si>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</si>
  <si>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</si>
  <si>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</si>
  <si>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</si>
  <si>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</si>
  <si>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</si>
  <si>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</si>
  <si>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</si>
  <si>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</si>
  <si>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</si>
  <si>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</si>
  <si>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</si>
  <si>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</si>
  <si>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</si>
  <si>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</si>
  <si>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</si>
  <si>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</si>
  <si>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</si>
  <si>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</si>
  <si>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</si>
  <si>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</si>
  <si>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</si>
  <si>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</si>
  <si>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</si>
  <si>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</si>
  <si>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</si>
  <si>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</si>
  <si>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</si>
  <si>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</si>
  <si>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</si>
  <si>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</si>
  <si>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</si>
  <si>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</si>
  <si>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</si>
  <si>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</si>
  <si>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</si>
  <si>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</si>
  <si>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</si>
  <si>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</si>
  <si>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</si>
  <si>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</si>
  <si>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</si>
  <si>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</si>
  <si>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</si>
  <si>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</si>
  <si>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</si>
  <si>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</si>
  <si>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</si>
  <si>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</si>
  <si>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</si>
  <si>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</si>
  <si>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</si>
  <si>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</si>
  <si>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</si>
  <si>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</si>
  <si>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</si>
  <si>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</si>
  <si>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</si>
  <si>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</si>
  <si>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</si>
  <si>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</si>
  <si>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</si>
  <si>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</si>
  <si>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</si>
  <si>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</si>
  <si>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</si>
  <si>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</si>
  <si>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</si>
  <si>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</si>
  <si>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</si>
  <si>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</si>
  <si>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</si>
  <si>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</si>
  <si>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</si>
  <si>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</si>
  <si>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</si>
  <si>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</si>
  <si>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</si>
  <si>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</si>
  <si>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</si>
  <si>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</si>
  <si>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</si>
  <si>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</si>
  <si>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</si>
  <si>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</si>
  <si>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</si>
  <si>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</si>
  <si>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</si>
  <si>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</si>
  <si>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</si>
  <si>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</si>
  <si>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</si>
  <si>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</si>
  <si>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</si>
  <si>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</si>
  <si>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</si>
  <si>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</si>
  <si>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</si>
  <si>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</si>
  <si>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</si>
  <si>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</si>
  <si>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</si>
  <si>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</si>
  <si>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</si>
  <si>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</si>
  <si>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</si>
  <si>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</si>
  <si>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</si>
  <si>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</si>
  <si>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</si>
  <si>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</si>
  <si>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</si>
  <si>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</si>
  <si>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</si>
  <si>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</si>
  <si>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</si>
  <si>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</si>
  <si>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</si>
  <si>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</si>
  <si>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</si>
  <si>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</si>
  <si>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</si>
  <si>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</si>
  <si>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</si>
  <si>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</si>
  <si>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</si>
  <si>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</si>
  <si>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</si>
  <si>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</si>
  <si>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</si>
  <si>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</si>
  <si>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</si>
  <si>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</si>
  <si>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</si>
  <si>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</si>
  <si>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</si>
  <si>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</si>
  <si>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</si>
  <si>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</si>
  <si>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</si>
  <si>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</si>
  <si>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</si>
  <si>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</si>
  <si>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</si>
  <si>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</si>
  <si>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</si>
  <si>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</si>
  <si>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</si>
  <si>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</si>
  <si>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</si>
  <si>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</si>
  <si>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</si>
  <si>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</si>
  <si>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</si>
  <si>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</si>
  <si>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</si>
  <si>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</si>
  <si>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</si>
  <si>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</si>
  <si>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</si>
  <si>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</si>
  <si>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</si>
  <si>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</si>
  <si>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</si>
  <si>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</si>
  <si>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</si>
  <si>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</si>
  <si>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</si>
  <si>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</si>
  <si>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</si>
  <si>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</si>
  <si>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</si>
  <si>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</si>
  <si>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</si>
  <si>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</si>
  <si>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</si>
  <si>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</si>
  <si>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</si>
  <si>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</si>
  <si>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</si>
  <si>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</si>
  <si>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</si>
  <si>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</si>
  <si>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</si>
  <si>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</si>
  <si>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</si>
  <si>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</si>
  <si>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</si>
  <si>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</si>
  <si>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</si>
  <si>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</si>
  <si>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</si>
  <si>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</si>
  <si>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</si>
  <si>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</si>
  <si>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</si>
  <si>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</si>
  <si>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</si>
  <si>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</si>
  <si>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</si>
  <si>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</si>
  <si>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</si>
  <si>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</si>
  <si>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</si>
  <si>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</si>
  <si>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</si>
  <si>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</si>
  <si>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</si>
  <si>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</si>
  <si>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</si>
  <si>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</si>
  <si>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</si>
  <si>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</si>
  <si>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</si>
  <si>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</si>
  <si>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</si>
  <si>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</si>
  <si>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</si>
  <si>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</si>
  <si>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</si>
  <si>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</si>
  <si>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</si>
  <si>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</si>
  <si>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</si>
  <si>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</si>
  <si>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</si>
  <si>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</si>
  <si>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</si>
  <si>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</si>
  <si>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</si>
  <si>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</si>
  <si>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</si>
  <si>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</si>
  <si>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</si>
  <si>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</si>
  <si>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</si>
  <si>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</si>
  <si>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</si>
  <si>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</si>
  <si>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</si>
  <si>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</si>
  <si>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</si>
  <si>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</si>
  <si>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</si>
  <si>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</si>
  <si>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</si>
  <si>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</si>
  <si>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</si>
  <si>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</si>
  <si>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</si>
  <si>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</si>
  <si>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</si>
  <si>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</si>
  <si>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</si>
  <si>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</si>
  <si>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</si>
  <si>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</si>
  <si>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</si>
  <si>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</si>
  <si>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</si>
  <si>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</si>
  <si>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</si>
  <si>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</si>
  <si>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</si>
  <si>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</si>
  <si>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</si>
  <si>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</si>
  <si>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</si>
  <si>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</si>
  <si>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</si>
  <si>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</si>
  <si>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</si>
  <si>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</si>
  <si>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</si>
  <si>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</si>
  <si>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</si>
  <si>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</si>
  <si>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</si>
  <si>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</si>
  <si>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</si>
  <si>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</si>
  <si>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</si>
  <si>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</si>
  <si>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</si>
  <si>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</si>
  <si>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</si>
  <si>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</si>
  <si>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</si>
  <si>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</si>
  <si>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</si>
  <si>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</si>
  <si>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</si>
  <si>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</si>
  <si>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</si>
  <si>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</si>
  <si>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</si>
  <si>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</si>
  <si>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</si>
  <si>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</si>
  <si>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</si>
  <si>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</si>
  <si>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</si>
  <si>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</si>
  <si>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</si>
  <si>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</si>
  <si>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</si>
  <si>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</si>
  <si>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</si>
  <si>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</si>
  <si>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</si>
  <si>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</si>
  <si>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</si>
  <si>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</si>
  <si>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</si>
  <si>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</si>
  <si>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</si>
  <si>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</si>
  <si>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</si>
  <si>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</si>
  <si>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</si>
  <si>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</si>
  <si>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</si>
  <si>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</si>
  <si>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</si>
  <si>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</si>
  <si>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</si>
  <si>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</si>
  <si>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</si>
  <si>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</si>
  <si>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</si>
  <si>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</si>
  <si>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</si>
  <si>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</si>
  <si>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</si>
  <si>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</si>
  <si>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</si>
  <si>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</si>
  <si>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</si>
  <si>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</si>
  <si>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</si>
  <si>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</si>
  <si>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</si>
  <si>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</si>
  <si>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</si>
  <si>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</si>
  <si>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</si>
  <si>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</si>
  <si>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</si>
  <si>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</si>
  <si>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</si>
  <si>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</si>
  <si>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</si>
  <si>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</si>
  <si>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</si>
  <si>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</si>
  <si>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</si>
  <si>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</si>
  <si>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</si>
  <si>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</si>
  <si>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</si>
  <si>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</si>
  <si>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</si>
  <si>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</si>
  <si>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</si>
  <si>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</si>
  <si>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</si>
  <si>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</si>
  <si>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</si>
  <si>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</si>
  <si>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</si>
  <si>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</si>
  <si>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</si>
  <si>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</si>
  <si>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</si>
  <si>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</si>
  <si>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</si>
  <si>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</si>
  <si>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</si>
  <si>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</si>
  <si>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</si>
  <si>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</si>
  <si>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</si>
  <si>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</si>
  <si>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</si>
  <si>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</si>
  <si>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</si>
  <si>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</si>
  <si>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</si>
  <si>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</si>
  <si>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</si>
  <si>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</si>
  <si>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</si>
  <si>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</si>
  <si>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</si>
  <si>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</si>
  <si>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</si>
  <si>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</si>
  <si>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</si>
  <si>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</si>
  <si>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</si>
  <si>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</si>
  <si>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</si>
  <si>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</si>
  <si>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</si>
  <si>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</si>
  <si>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</si>
  <si>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</si>
  <si>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</si>
  <si>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</si>
  <si>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</si>
  <si>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</si>
  <si>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</si>
  <si>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</si>
  <si>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</si>
  <si>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</si>
  <si>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</si>
  <si>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</si>
  <si>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</si>
  <si>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</si>
  <si>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</si>
  <si>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</si>
  <si>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</si>
  <si>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</si>
  <si>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</si>
  <si>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</si>
  <si>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</si>
  <si>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</si>
  <si>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</si>
  <si>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</si>
  <si>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</si>
  <si>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</si>
  <si>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</si>
  <si>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</si>
  <si>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</si>
  <si>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</si>
  <si>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</si>
  <si>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</si>
  <si>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</si>
  <si>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</si>
  <si>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</si>
  <si>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</si>
  <si>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</si>
  <si>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</si>
  <si>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</si>
  <si>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</si>
  <si>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</si>
  <si>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</si>
  <si>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</si>
  <si>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</si>
  <si>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</si>
  <si>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</si>
  <si>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</si>
  <si>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</si>
  <si>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</si>
  <si>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</si>
  <si>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</si>
  <si>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</si>
  <si>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</si>
  <si>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</si>
  <si>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</si>
  <si>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</si>
  <si>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</si>
  <si>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</si>
  <si>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</si>
  <si>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</si>
  <si>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</si>
  <si>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</si>
  <si>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</si>
  <si>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</si>
  <si>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</si>
  <si>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</si>
  <si>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</si>
  <si>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</si>
  <si>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</si>
  <si>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</si>
  <si>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</si>
  <si>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</si>
  <si>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</si>
  <si>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</si>
  <si>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</si>
  <si>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</si>
  <si>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</si>
  <si>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</si>
  <si>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</si>
  <si>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</si>
  <si>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</si>
  <si>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</si>
  <si>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</si>
  <si>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</si>
  <si>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</si>
  <si>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</si>
  <si>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</si>
  <si>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</si>
  <si>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</si>
  <si>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</si>
  <si>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</si>
  <si>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</si>
  <si>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</si>
  <si>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</si>
  <si>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</si>
  <si>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</si>
  <si>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</si>
  <si>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</si>
  <si>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</si>
  <si>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</si>
  <si>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</si>
  <si>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</si>
  <si>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</si>
  <si>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</si>
  <si>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</si>
  <si>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</si>
  <si>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</si>
  <si>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</si>
  <si>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</si>
  <si>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</si>
  <si>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</si>
  <si>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</si>
  <si>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</si>
  <si>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</si>
  <si>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</si>
  <si>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</si>
  <si>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</si>
  <si>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</si>
  <si>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</si>
  <si>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</si>
  <si>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</si>
  <si>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</si>
  <si>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</si>
  <si>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</si>
  <si>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</si>
  <si>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</si>
  <si>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</si>
  <si>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</si>
  <si>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</si>
  <si>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</si>
  <si>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</si>
  <si>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</si>
  <si>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</si>
  <si>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</si>
  <si>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</si>
  <si>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</si>
  <si>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</si>
  <si>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</si>
  <si>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</si>
  <si>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</si>
  <si>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</si>
  <si>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</si>
  <si>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</si>
  <si>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</si>
  <si>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</si>
  <si>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</si>
  <si>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</si>
  <si>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</si>
  <si>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</si>
  <si>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</si>
  <si>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</si>
  <si>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</si>
  <si>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</si>
  <si>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</si>
  <si>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</si>
  <si>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</si>
  <si>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</si>
  <si>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</si>
  <si>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</si>
  <si>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</si>
  <si>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</si>
  <si>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</si>
  <si>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</si>
  <si>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</si>
  <si>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</si>
  <si>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</si>
  <si>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</si>
  <si>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</si>
  <si>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</si>
  <si>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</si>
  <si>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</si>
  <si>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</si>
  <si>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</si>
  <si>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</si>
  <si>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</si>
  <si>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</si>
  <si>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</si>
  <si>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</si>
  <si>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</si>
  <si>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</si>
  <si>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</si>
  <si>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</si>
  <si>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</si>
  <si>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</si>
  <si>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</si>
  <si>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</si>
  <si>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</si>
  <si>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</si>
  <si>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</si>
  <si>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</si>
  <si>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</si>
  <si>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</si>
  <si>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</si>
  <si>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</si>
  <si>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</si>
  <si>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</si>
  <si>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</si>
  <si>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</si>
  <si>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</si>
  <si>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</si>
  <si>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</si>
  <si>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</si>
  <si>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</si>
  <si>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</si>
  <si>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</si>
  <si>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</si>
  <si>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</si>
  <si>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</si>
  <si>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</si>
  <si>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</si>
  <si>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</si>
  <si>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</si>
  <si>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</si>
  <si>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</si>
  <si>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</si>
  <si>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</si>
  <si>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</si>
  <si>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</si>
  <si>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</si>
  <si>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</si>
  <si>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</si>
  <si>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</si>
  <si>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</si>
  <si>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</si>
  <si>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</si>
  <si>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</si>
  <si>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</si>
  <si>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</si>
  <si>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</si>
  <si>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</si>
  <si>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</si>
  <si>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</si>
  <si>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</si>
  <si>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</si>
  <si>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</si>
  <si>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</si>
  <si>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</si>
  <si>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</si>
  <si>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</si>
  <si>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</si>
  <si>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</si>
  <si>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</si>
  <si>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</si>
  <si>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</si>
  <si>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</si>
  <si>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</si>
  <si>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</si>
  <si>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</si>
  <si>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</si>
  <si>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</si>
  <si>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</si>
  <si>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</si>
  <si>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</si>
  <si>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</si>
  <si>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</si>
  <si>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</si>
  <si>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</si>
  <si>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</si>
  <si>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</si>
  <si>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</si>
  <si>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</si>
  <si>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</si>
  <si>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</si>
  <si>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</si>
  <si>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</si>
  <si>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</si>
  <si>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</si>
  <si>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</si>
  <si>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</si>
  <si>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</si>
  <si>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</si>
  <si>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</si>
  <si>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</si>
  <si>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</si>
  <si>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</si>
  <si>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</si>
  <si>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</si>
  <si>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</si>
  <si>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</si>
  <si>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</si>
  <si>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</si>
  <si>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</si>
  <si>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</si>
  <si>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</si>
  <si>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</si>
  <si>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</si>
  <si>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</si>
  <si>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</si>
  <si>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</si>
  <si>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</si>
  <si>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</si>
  <si>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</si>
  <si>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</si>
  <si>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</si>
  <si>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</si>
  <si>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</si>
  <si>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</si>
  <si>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</si>
  <si>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</si>
  <si>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</si>
  <si>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</si>
  <si>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</si>
  <si>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</si>
  <si>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</si>
  <si>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</si>
  <si>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</si>
  <si>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</si>
  <si>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</si>
  <si>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</si>
  <si>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</si>
  <si>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</si>
  <si>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</si>
  <si>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</si>
  <si>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</si>
  <si>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</si>
  <si>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</si>
  <si>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</si>
  <si>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</si>
  <si>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</si>
  <si>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</si>
  <si>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</si>
  <si>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</si>
  <si>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</si>
  <si>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</si>
  <si>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</si>
  <si>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</si>
  <si>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</si>
  <si>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</si>
  <si>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</si>
  <si>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</si>
  <si>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</si>
  <si>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</si>
  <si>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</si>
  <si>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</si>
  <si>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</si>
  <si>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</si>
  <si>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</si>
  <si>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</si>
  <si>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</si>
  <si>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</si>
  <si>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</si>
  <si>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</si>
  <si>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</si>
  <si>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</si>
  <si>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</si>
  <si>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</si>
  <si>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</si>
  <si>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</si>
  <si>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</si>
  <si>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</si>
  <si>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</si>
  <si>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</si>
  <si>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</si>
  <si>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</si>
  <si>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</si>
  <si>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</si>
  <si>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</si>
  <si>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</si>
  <si>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</si>
  <si>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</si>
  <si>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</si>
  <si>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</si>
  <si>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</si>
  <si>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</si>
  <si>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</si>
  <si>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</si>
  <si>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</si>
  <si>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</si>
  <si>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</si>
  <si>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</si>
  <si>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</si>
  <si>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</si>
  <si>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</si>
  <si>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</si>
  <si>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</si>
  <si>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</si>
  <si>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</si>
  <si>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</si>
  <si>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</si>
  <si>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</si>
  <si>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</si>
  <si>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</si>
  <si>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</si>
  <si>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</si>
  <si>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</si>
  <si>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</si>
  <si>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</si>
  <si>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</si>
  <si>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</si>
  <si>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</si>
  <si>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</si>
  <si>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</si>
  <si>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</si>
  <si>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</si>
  <si>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</si>
  <si>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</si>
  <si>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</si>
  <si>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</si>
  <si>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</si>
  <si>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</si>
  <si>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</si>
  <si>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</si>
  <si>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</si>
  <si>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</si>
  <si>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</si>
  <si>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</si>
  <si>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</si>
  <si>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</si>
  <si>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</si>
  <si>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</si>
  <si>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</si>
  <si>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</si>
  <si>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</si>
  <si>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</si>
  <si>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</si>
  <si>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</si>
  <si>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</si>
  <si>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</si>
  <si>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</si>
  <si>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</si>
  <si>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</si>
  <si>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</si>
  <si>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</si>
  <si>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</si>
  <si>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</si>
  <si>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</si>
  <si>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</si>
  <si>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</si>
  <si>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</si>
  <si>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</si>
  <si>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</si>
  <si>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</si>
  <si>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</si>
  <si>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</si>
  <si>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</si>
  <si>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</si>
  <si>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</si>
  <si>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</si>
  <si>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</si>
  <si>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</si>
  <si>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</si>
  <si>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</si>
  <si>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</si>
  <si>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</si>
  <si>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</si>
  <si>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</si>
  <si>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</si>
  <si>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</si>
  <si>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</si>
  <si>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</si>
  <si>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</si>
  <si>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</si>
  <si>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</si>
  <si>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</si>
  <si>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</si>
  <si>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</si>
  <si>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</si>
  <si>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</si>
  <si>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</si>
  <si>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</si>
  <si>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</si>
  <si>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</si>
  <si>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</si>
  <si>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</si>
  <si>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</si>
  <si>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</si>
  <si>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</si>
  <si>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</si>
  <si>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</si>
  <si>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</si>
  <si>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</si>
  <si>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</si>
  <si>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</si>
  <si>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</si>
  <si>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</si>
  <si>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</si>
  <si>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</si>
  <si>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</si>
  <si>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</si>
  <si>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</si>
  <si>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</si>
  <si>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</si>
  <si>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</si>
  <si>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</si>
  <si>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</si>
  <si>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</si>
  <si>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</si>
  <si>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</si>
  <si>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</si>
  <si>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</si>
  <si>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</si>
  <si>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</si>
  <si>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</si>
  <si>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</si>
  <si>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</si>
  <si>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</si>
  <si>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</si>
  <si>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</si>
  <si>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</si>
  <si>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</si>
  <si>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</si>
  <si>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</si>
  <si>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</si>
  <si>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</si>
  <si>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</si>
  <si>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</si>
  <si>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</si>
  <si>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</si>
  <si>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</si>
  <si>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</si>
  <si>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</si>
  <si>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</si>
  <si>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</si>
  <si>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</si>
  <si>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</si>
  <si>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</si>
  <si>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</si>
  <si>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</si>
  <si>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</si>
  <si>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</si>
  <si>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</si>
  <si>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</si>
  <si>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</si>
  <si>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</si>
  <si>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</si>
  <si>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</si>
  <si>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</si>
  <si>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</si>
  <si>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</si>
  <si>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</si>
  <si>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</si>
  <si>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</si>
  <si>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</si>
  <si>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</si>
  <si>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</si>
  <si>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</si>
  <si>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</si>
  <si>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</si>
  <si>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</si>
  <si>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</si>
  <si>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</si>
  <si>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</si>
  <si>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</si>
  <si>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</si>
  <si>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</si>
  <si>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</si>
  <si>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</si>
  <si>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</si>
  <si>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</si>
  <si>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</si>
  <si>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</si>
  <si>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</si>
  <si>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</si>
  <si>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</si>
  <si>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</si>
  <si>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</si>
  <si>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</si>
  <si>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</si>
  <si>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</si>
  <si>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</si>
  <si>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</si>
  <si>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</si>
  <si>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</si>
  <si>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</si>
  <si>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</si>
  <si>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</si>
  <si>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</si>
  <si>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</si>
  <si>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</si>
  <si>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</si>
  <si>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</si>
  <si>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</si>
  <si>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</si>
  <si>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</si>
  <si>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</si>
  <si>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</si>
  <si>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</si>
  <si>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</si>
  <si>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</si>
  <si>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</si>
  <si>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</si>
  <si>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</si>
  <si>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</si>
  <si>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</si>
  <si>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</si>
  <si>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</si>
  <si>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</si>
  <si>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</si>
  <si>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</si>
  <si>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</si>
  <si>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</si>
  <si>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</si>
  <si>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</si>
  <si>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</si>
  <si>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</si>
  <si>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</si>
  <si>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</si>
  <si>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</si>
  <si>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</si>
  <si>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</si>
  <si>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</si>
  <si>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</si>
  <si>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</si>
  <si>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</si>
  <si>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</si>
  <si>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</si>
  <si>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</si>
  <si>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</si>
  <si>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</si>
  <si>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</si>
  <si>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</si>
  <si>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</si>
  <si>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</si>
  <si>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</si>
  <si>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</si>
  <si>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</si>
  <si>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</si>
  <si>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</si>
  <si>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</si>
  <si>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</si>
  <si>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</si>
  <si>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</si>
  <si>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</si>
  <si>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</si>
  <si>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</si>
  <si>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</si>
  <si>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</si>
  <si>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</si>
  <si>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</si>
  <si>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</si>
  <si>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</si>
  <si>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</si>
  <si>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</si>
  <si>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</si>
  <si>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</si>
  <si>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</si>
  <si>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</si>
  <si>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</si>
  <si>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</si>
  <si>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</si>
  <si>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</si>
  <si>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</si>
  <si>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</si>
  <si>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</si>
  <si>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</si>
  <si>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</si>
  <si>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</si>
  <si>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</si>
  <si>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</si>
  <si>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</si>
  <si>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</si>
  <si>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</si>
  <si>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</si>
  <si>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</si>
  <si>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</si>
  <si>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</si>
  <si>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</si>
  <si>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</si>
  <si>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</si>
  <si>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</si>
  <si>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</si>
  <si>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</si>
  <si>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</si>
  <si>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</si>
  <si>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</si>
  <si>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</si>
  <si>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</si>
  <si>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</si>
  <si>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</si>
  <si>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</si>
  <si>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</si>
  <si>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</si>
  <si>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</si>
  <si>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</si>
  <si>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</si>
  <si>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</si>
  <si>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</si>
  <si>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</si>
  <si>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</si>
  <si>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</si>
  <si>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</si>
  <si>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</si>
  <si>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</si>
  <si>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</si>
  <si>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</si>
  <si>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</si>
  <si>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</si>
  <si>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</si>
  <si>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</si>
  <si>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</si>
  <si>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</si>
  <si>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</si>
  <si>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</si>
  <si>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</si>
  <si>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</si>
  <si>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</si>
  <si>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</si>
  <si>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</si>
  <si>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</si>
  <si>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</si>
  <si>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</si>
  <si>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</si>
  <si>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</si>
  <si>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</si>
  <si>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</si>
  <si>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</si>
  <si>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</si>
  <si>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</si>
  <si>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</si>
  <si>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</si>
  <si>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</si>
  <si>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</si>
  <si>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</si>
  <si>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</si>
  <si>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</si>
  <si>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</si>
  <si>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</si>
  <si>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</si>
  <si>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</si>
  <si>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</si>
  <si>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</si>
  <si>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</si>
  <si>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</si>
  <si>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</si>
  <si>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</si>
  <si>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</si>
  <si>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</si>
  <si>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</si>
  <si>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</si>
  <si>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</si>
  <si>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</si>
  <si>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</si>
  <si>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</si>
  <si>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</si>
  <si>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</si>
  <si>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</si>
  <si>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</si>
  <si>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</si>
  <si>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</si>
  <si>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</si>
  <si>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</si>
  <si>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</si>
  <si>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</si>
  <si>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</si>
  <si>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</si>
  <si>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</si>
  <si>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</si>
  <si>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</si>
  <si>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</si>
  <si>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</si>
  <si>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</si>
  <si>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</si>
  <si>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</si>
  <si>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</si>
  <si>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</si>
  <si>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</si>
  <si>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</si>
  <si>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</si>
  <si>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</si>
  <si>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</si>
  <si>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</si>
  <si>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</si>
  <si>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</si>
  <si>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</si>
  <si>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</si>
  <si>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</si>
  <si>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</si>
  <si>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</si>
  <si>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</si>
  <si>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</si>
  <si>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</si>
  <si>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</si>
  <si>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</si>
  <si>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</si>
  <si>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</si>
  <si>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</si>
  <si>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</si>
  <si>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</si>
  <si>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</si>
  <si>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</si>
  <si>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</si>
  <si>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</si>
  <si>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</si>
  <si>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</si>
  <si>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</si>
  <si>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</si>
  <si>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</si>
  <si>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</si>
  <si>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</si>
  <si>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</si>
  <si>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</si>
  <si>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</si>
  <si>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</si>
  <si>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</si>
  <si>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</si>
  <si>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</si>
  <si>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</si>
  <si>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</si>
  <si>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</si>
  <si>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</si>
  <si>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</si>
  <si>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</si>
  <si>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</si>
  <si>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</si>
  <si>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</si>
  <si>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</si>
  <si>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</si>
  <si>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</si>
  <si>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</si>
  <si>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</si>
  <si>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</si>
  <si>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</si>
  <si>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</si>
  <si>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</si>
  <si>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</si>
  <si>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</si>
  <si>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</si>
  <si>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</si>
  <si>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</si>
  <si>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</si>
  <si>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</si>
  <si>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</si>
  <si>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</si>
  <si>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</si>
  <si>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</si>
  <si>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</si>
  <si>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</si>
  <si>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</si>
  <si>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</si>
  <si>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</si>
  <si>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</si>
  <si>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</si>
  <si>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</si>
  <si>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</si>
  <si>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</si>
  <si>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</si>
  <si>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</si>
  <si>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</si>
  <si>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</si>
  <si>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</si>
  <si>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</si>
  <si>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</si>
  <si>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</si>
  <si>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</si>
  <si>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</si>
  <si>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</si>
  <si>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</si>
  <si>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</si>
  <si>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</si>
  <si>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</si>
  <si>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</si>
  <si>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</si>
  <si>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</si>
  <si>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</si>
  <si>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</si>
  <si>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</si>
  <si>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</si>
  <si>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</si>
  <si>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</si>
  <si>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</si>
  <si>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</si>
  <si>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</si>
  <si>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</si>
  <si>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</si>
  <si>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</si>
  <si>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</si>
  <si>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</si>
  <si>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</si>
  <si>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</si>
  <si>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</si>
  <si>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</si>
  <si>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</si>
  <si>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</si>
  <si>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</si>
  <si>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</si>
  <si>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</si>
  <si>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</si>
  <si>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</si>
  <si>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</si>
  <si>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</si>
  <si>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</si>
  <si>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</si>
  <si>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</si>
  <si>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</si>
  <si>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</si>
  <si>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</si>
  <si>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</si>
  <si>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</si>
  <si>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</si>
  <si>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</si>
  <si>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</si>
  <si>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</si>
  <si>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</si>
  <si>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</si>
  <si>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</si>
  <si>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</si>
  <si>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</si>
  <si>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</si>
  <si>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</si>
  <si>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</si>
  <si>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</si>
  <si>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</si>
  <si>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</si>
  <si>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</si>
  <si>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</si>
  <si>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</si>
  <si>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</si>
  <si>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</si>
  <si>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</si>
  <si>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</si>
  <si>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</si>
  <si>
    <t>SPS3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</si>
</sst>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3_users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9.4452087389932382E-3</v>
          </cell>
          <cell r="G4">
            <v>1.1438556141326977E-2</v>
          </cell>
          <cell r="H4">
            <v>1.1973883079959908E-2</v>
          </cell>
          <cell r="I4">
            <v>0.25238583812446391</v>
          </cell>
          <cell r="J4">
            <v>2.2089692607500599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9.4452087389932382E-3</v>
          </cell>
          <cell r="G5">
            <v>1.1438556141326977E-2</v>
          </cell>
          <cell r="H5">
            <v>1.1973883079959908E-2</v>
          </cell>
          <cell r="I5">
            <v>0.25238583812446391</v>
          </cell>
          <cell r="J5">
            <v>2.2089692607500599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1.25765533519795E-3</v>
          </cell>
          <cell r="G6">
            <v>1.9414329735748201E-7</v>
          </cell>
          <cell r="H6">
            <v>4.6068671576348201E-7</v>
          </cell>
          <cell r="I6">
            <v>2.41974565285244E-2</v>
          </cell>
          <cell r="J6">
            <v>0.19769338596552599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1.25765533519795E-3</v>
          </cell>
          <cell r="G7">
            <v>1.2578494784953099E-3</v>
          </cell>
          <cell r="H7">
            <v>1.25831016521108E-3</v>
          </cell>
          <cell r="I7">
            <v>2.55014382374893E-2</v>
          </cell>
          <cell r="J7">
            <v>0.22319482420301601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3.2682125806109812</v>
          </cell>
          <cell r="F8">
            <v>3.8319860908283032</v>
          </cell>
          <cell r="G8">
            <v>0.34203243828159013</v>
          </cell>
          <cell r="H8">
            <v>0.29937897128954905</v>
          </cell>
          <cell r="I8">
            <v>0.18121185037606524</v>
          </cell>
          <cell r="J8">
            <v>6.8025734102078128E-2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3.2682125806109812</v>
          </cell>
          <cell r="F9">
            <v>3.8319860908283032</v>
          </cell>
          <cell r="G9">
            <v>0.34203243828159013</v>
          </cell>
          <cell r="H9">
            <v>0.29937897128954905</v>
          </cell>
          <cell r="I9">
            <v>0.18121185037606524</v>
          </cell>
          <cell r="J9">
            <v>6.8025734102078128E-2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0.66996712909807532</v>
          </cell>
          <cell r="F10">
            <v>0.1010620776950945</v>
          </cell>
          <cell r="G10">
            <v>4.9727297321387746E-2</v>
          </cell>
          <cell r="H10">
            <v>2.3625528360051631E-2</v>
          </cell>
          <cell r="I10">
            <v>5.6593285977949159E-3</v>
          </cell>
          <cell r="J10">
            <v>1.2275116423180327E-2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2.0850323589458428</v>
          </cell>
          <cell r="F11">
            <v>0.29451389023497382</v>
          </cell>
          <cell r="G11">
            <v>0.13014916596202736</v>
          </cell>
          <cell r="H11">
            <v>5.0142223397299401E-2</v>
          </cell>
          <cell r="I11">
            <v>6.4098013931178279E-3</v>
          </cell>
          <cell r="J11">
            <v>1.3567233941409868E-2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108.462079724224</v>
          </cell>
          <cell r="F12">
            <v>16.217955195570401</v>
          </cell>
          <cell r="G12">
            <v>8.0064617375348597</v>
          </cell>
          <cell r="H12">
            <v>3.77061470655998</v>
          </cell>
          <cell r="I12">
            <v>0.91720615001857497</v>
          </cell>
          <cell r="J12">
            <v>1.93459145250374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1.9230865199330422</v>
          </cell>
          <cell r="F13">
            <v>0.28755239708458213</v>
          </cell>
          <cell r="G13">
            <v>0.14195854144565348</v>
          </cell>
          <cell r="H13">
            <v>6.6854870683687548E-2</v>
          </cell>
          <cell r="I13">
            <v>1.6262520390400274E-2</v>
          </cell>
          <cell r="J13">
            <v>3.4301266888364247E-2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1.1919665074914601E-6</v>
          </cell>
          <cell r="G14">
            <v>3.7910430429618498E-6</v>
          </cell>
          <cell r="H14">
            <v>2.0223328477808802E-3</v>
          </cell>
          <cell r="I14">
            <v>3.1354005819802301E-6</v>
          </cell>
          <cell r="J14">
            <v>4.64017051431402E-4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2.5117966952896302E-2</v>
          </cell>
          <cell r="F15">
            <v>1.8577281190275095E-2</v>
          </cell>
          <cell r="G15">
            <v>1.1826404423044654E-2</v>
          </cell>
          <cell r="H15">
            <v>5.6153052485151279E-3</v>
          </cell>
          <cell r="I15">
            <v>1.3452822619367099E-3</v>
          </cell>
          <cell r="J15">
            <v>1.1956578713008129E-3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6.7990985550881309</v>
          </cell>
          <cell r="F16">
            <v>6.0792899532103933E-4</v>
          </cell>
          <cell r="G16">
            <v>5.2446214780446762E-4</v>
          </cell>
          <cell r="H16">
            <v>2.1697507094965455E-4</v>
          </cell>
          <cell r="I16">
            <v>2.5020750147710063E-4</v>
          </cell>
          <cell r="J16">
            <v>1.6764098993844422E-4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6.7990985550881309</v>
          </cell>
          <cell r="F17">
            <v>6.0792899532103933E-4</v>
          </cell>
          <cell r="G17">
            <v>5.2446214780446762E-4</v>
          </cell>
          <cell r="H17">
            <v>2.1697507094965455E-4</v>
          </cell>
          <cell r="I17">
            <v>2.5020750147710063E-4</v>
          </cell>
          <cell r="J17">
            <v>1.6764098993844422E-4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1.1639223082596201E-6</v>
          </cell>
          <cell r="F18">
            <v>9.637096537602351E-7</v>
          </cell>
          <cell r="G18">
            <v>1.13268452811329E-6</v>
          </cell>
          <cell r="H18">
            <v>1.1956641945283399E-6</v>
          </cell>
          <cell r="I18">
            <v>1.08228281778099E-6</v>
          </cell>
          <cell r="J18">
            <v>1.5386219585876901E-6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1.4624302183692395</v>
          </cell>
          <cell r="F19">
            <v>6.3504518905999063E-4</v>
          </cell>
          <cell r="G19">
            <v>6.1250856504990736E-4</v>
          </cell>
          <cell r="H19">
            <v>5.6863248906990904E-4</v>
          </cell>
          <cell r="I19">
            <v>5.6582137175475999E-4</v>
          </cell>
          <cell r="J19">
            <v>5.652877003932133E-4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1.4353795381817952E-3</v>
          </cell>
          <cell r="F20">
            <v>1.4288827044710004E-3</v>
          </cell>
          <cell r="G20">
            <v>1.4524341357785887E-3</v>
          </cell>
          <cell r="H20">
            <v>4.4346016122886155E-3</v>
          </cell>
          <cell r="I20">
            <v>6.6113139773589791E-3</v>
          </cell>
          <cell r="J20">
            <v>3.7486103295687784E-3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1.4353795381817941E-3</v>
          </cell>
          <cell r="F21">
            <v>1.4288827044709989E-3</v>
          </cell>
          <cell r="G21">
            <v>1.4524341357785872E-3</v>
          </cell>
          <cell r="H21">
            <v>4.434601612288612E-3</v>
          </cell>
          <cell r="I21">
            <v>6.6113139773589704E-3</v>
          </cell>
          <cell r="J21">
            <v>3.7486103295687754E-3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1.590508126064062E-3</v>
          </cell>
          <cell r="F22">
            <v>1.5831500143631187E-3</v>
          </cell>
          <cell r="G22">
            <v>1.6071841385657275E-3</v>
          </cell>
          <cell r="H22">
            <v>4.9044641041459201E-3</v>
          </cell>
          <cell r="I22">
            <v>7.3115877452306424E-3</v>
          </cell>
          <cell r="J22">
            <v>4.1457062716519959E-3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1.590508126064062E-3</v>
          </cell>
          <cell r="F23">
            <v>1.5831500143631187E-3</v>
          </cell>
          <cell r="G23">
            <v>1.6071841385657275E-3</v>
          </cell>
          <cell r="H23">
            <v>4.9044641041459201E-3</v>
          </cell>
          <cell r="I23">
            <v>7.3115877452306424E-3</v>
          </cell>
          <cell r="J23">
            <v>4.1457062716519959E-3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5.8642661346271804E-4</v>
          </cell>
          <cell r="F24">
            <v>9.5425143707931303E-7</v>
          </cell>
          <cell r="G24">
            <v>7.5711622756891596E-6</v>
          </cell>
          <cell r="H24">
            <v>1.37942225675254E-3</v>
          </cell>
          <cell r="I24">
            <v>2.0603455233724299E-3</v>
          </cell>
          <cell r="J24">
            <v>4.3264262394870098E-4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5.8876753939006248E-4</v>
          </cell>
          <cell r="F25">
            <v>5.8932500170889293E-4</v>
          </cell>
          <cell r="G25">
            <v>5.9647203166046593E-4</v>
          </cell>
          <cell r="H25">
            <v>1.815764017796093E-3</v>
          </cell>
          <cell r="I25">
            <v>2.707221502393884E-3</v>
          </cell>
          <cell r="J25">
            <v>1.5362960574706094E-3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1.3876827032704231E-5</v>
          </cell>
          <cell r="F26">
            <v>2.6963960253540895E-4</v>
          </cell>
          <cell r="G26">
            <v>1.4890108351641045E-2</v>
          </cell>
          <cell r="H26">
            <v>5.3006167241147224E-3</v>
          </cell>
          <cell r="I26">
            <v>0.18112200915063348</v>
          </cell>
          <cell r="J26">
            <v>1.8331330894699029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1.3876827032704208E-5</v>
          </cell>
          <cell r="F27">
            <v>2.694193874549857E-4</v>
          </cell>
          <cell r="G27">
            <v>1.4871115866498634E-2</v>
          </cell>
          <cell r="H27">
            <v>5.300616724114731E-3</v>
          </cell>
          <cell r="I27">
            <v>0.1811220091506337</v>
          </cell>
          <cell r="J27">
            <v>1.8331330894699032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1.1897383396742376E-5</v>
          </cell>
          <cell r="F28">
            <v>3.2802871520117081E-4</v>
          </cell>
          <cell r="G28">
            <v>1.7721554361865607E-2</v>
          </cell>
          <cell r="H28">
            <v>6.0913098585561893E-3</v>
          </cell>
          <cell r="I28">
            <v>0.19475655946348053</v>
          </cell>
          <cell r="J28">
            <v>1.8516528135399395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1.1897383396742376E-5</v>
          </cell>
          <cell r="F29">
            <v>3.2802871520117081E-4</v>
          </cell>
          <cell r="G29">
            <v>1.7721554361865607E-2</v>
          </cell>
          <cell r="H29">
            <v>6.0913098585561893E-3</v>
          </cell>
          <cell r="I29">
            <v>0.19475655946348053</v>
          </cell>
          <cell r="J29">
            <v>1.8516528135399395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2.6133825384558498E-3</v>
          </cell>
          <cell r="F30">
            <v>3.7711675453599098E-5</v>
          </cell>
          <cell r="G30">
            <v>3.3915093445389003E-5</v>
          </cell>
          <cell r="H30">
            <v>2.11422838674033E-5</v>
          </cell>
          <cell r="I30">
            <v>7.9950197592235806E-3</v>
          </cell>
          <cell r="J30">
            <v>0.106717409873315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2.6133825384558498E-3</v>
          </cell>
          <cell r="F31">
            <v>2.6466150251414039E-3</v>
          </cell>
          <cell r="G31">
            <v>2.665306788705764E-3</v>
          </cell>
          <cell r="H31">
            <v>2.6264079867953797E-3</v>
          </cell>
          <cell r="I31">
            <v>1.1314032139150462E-2</v>
          </cell>
          <cell r="J31">
            <v>0.1139097844696659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1.9687006069120517E-3</v>
          </cell>
          <cell r="J32">
            <v>0.29705044766182154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1.988586471628335E-3</v>
          </cell>
          <cell r="J33">
            <v>0.30005095723416314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9.7939211932271595E-7</v>
          </cell>
          <cell r="I34">
            <v>6.4787042926445497E-4</v>
          </cell>
          <cell r="J34">
            <v>2.1426137543934201E-2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9.7939211932271595E-7</v>
          </cell>
          <cell r="I35">
            <v>6.5175945204555303E-4</v>
          </cell>
          <cell r="J35">
            <v>2.2077896995979701E-2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1.4295121206802073E-3</v>
          </cell>
          <cell r="F36">
            <v>1.4229673838499957E-3</v>
          </cell>
          <cell r="G36">
            <v>1.4470915167810483E-3</v>
          </cell>
          <cell r="H36">
            <v>4.4443613036578688E-3</v>
          </cell>
          <cell r="I36">
            <v>7.4766504726388903E-3</v>
          </cell>
          <cell r="J36">
            <v>4.1420647619845466E-3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1.4295121206802065E-3</v>
          </cell>
          <cell r="F37">
            <v>1.4229673838499943E-3</v>
          </cell>
          <cell r="G37">
            <v>1.4470915167810465E-3</v>
          </cell>
          <cell r="H37">
            <v>4.4443613036578653E-3</v>
          </cell>
          <cell r="I37">
            <v>7.4766504726388808E-3</v>
          </cell>
          <cell r="J37">
            <v>4.1420647619845423E-3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1.5840195556036548E-3</v>
          </cell>
          <cell r="F38">
            <v>1.5766233402732671E-3</v>
          </cell>
          <cell r="G38">
            <v>1.6007688691362725E-3</v>
          </cell>
          <cell r="H38">
            <v>4.9152378173836584E-3</v>
          </cell>
          <cell r="I38">
            <v>8.2685879572824989E-3</v>
          </cell>
          <cell r="J38">
            <v>4.5808136774334891E-3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1.5840195556036548E-3</v>
          </cell>
          <cell r="F39">
            <v>1.5766233402732671E-3</v>
          </cell>
          <cell r="G39">
            <v>1.6007688691362725E-3</v>
          </cell>
          <cell r="H39">
            <v>4.9152378173836584E-3</v>
          </cell>
          <cell r="I39">
            <v>8.2685879572824989E-3</v>
          </cell>
          <cell r="J39">
            <v>4.5808136774334891E-3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5.84312400368683E-4</v>
          </cell>
          <cell r="F40">
            <v>9.5387355373690699E-7</v>
          </cell>
          <cell r="G40">
            <v>7.44822033141259E-6</v>
          </cell>
          <cell r="H40">
            <v>1.38511608026686E-3</v>
          </cell>
          <cell r="I40">
            <v>2.31143499803154E-3</v>
          </cell>
          <cell r="J40">
            <v>4.5030469057552401E-4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5.8639578607714302E-4</v>
          </cell>
          <cell r="F41">
            <v>5.8695527216163471E-4</v>
          </cell>
          <cell r="G41">
            <v>5.9398187302089856E-4</v>
          </cell>
          <cell r="H41">
            <v>1.8197832177448549E-3</v>
          </cell>
          <cell r="I41">
            <v>3.0618464394386101E-3</v>
          </cell>
          <cell r="J41">
            <v>1.6978721390210896E-3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3.5488565471105534E-3</v>
          </cell>
          <cell r="J42">
            <v>4.4441163100080994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0.91108766728008261</v>
          </cell>
          <cell r="J43">
            <v>1140.9251144015086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-0.91108766728008295</v>
          </cell>
          <cell r="J44">
            <v>-1140.92511440151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0.98394272220287304</v>
          </cell>
          <cell r="J45">
            <v>1207.9991206136899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1.0602831058220621E-2</v>
          </cell>
          <cell r="J46">
            <v>13.017231903164763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2.1947951537641501E-4</v>
          </cell>
          <cell r="J47">
            <v>0.165571307328405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2.1947951537641501E-4</v>
          </cell>
          <cell r="J48">
            <v>0.16579075736138799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5.4464632512395104E-2</v>
          </cell>
          <cell r="G49">
            <v>8.6988299242261105E-2</v>
          </cell>
          <cell r="H49">
            <v>0.16902751763053397</v>
          </cell>
          <cell r="I49">
            <v>0.18346372458079838</v>
          </cell>
          <cell r="J49">
            <v>0.20713050912734801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3.3867709503403738</v>
          </cell>
          <cell r="F50">
            <v>3.8270023946427858</v>
          </cell>
          <cell r="G50">
            <v>5.6158208826953615</v>
          </cell>
          <cell r="H50">
            <v>6.2824876911525349</v>
          </cell>
          <cell r="I50">
            <v>5.6087956237055989</v>
          </cell>
          <cell r="J50">
            <v>4.5509940992183617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3.1771110746873572</v>
          </cell>
          <cell r="F51">
            <v>3.5391931781513595</v>
          </cell>
          <cell r="G51">
            <v>2.0881722021592397</v>
          </cell>
          <cell r="H51">
            <v>2.691649730147784</v>
          </cell>
          <cell r="I51">
            <v>2.4651216628984689</v>
          </cell>
          <cell r="J51">
            <v>2.0671753608827617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1.7761253145540437</v>
          </cell>
          <cell r="F52">
            <v>1.8955018544771864</v>
          </cell>
          <cell r="G52">
            <v>2.1887240616063264</v>
          </cell>
          <cell r="H52">
            <v>2.8300125102285034</v>
          </cell>
          <cell r="I52">
            <v>0.3658194758030277</v>
          </cell>
          <cell r="J52">
            <v>0.86808533895011675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0.35009351495077856</v>
          </cell>
          <cell r="G53">
            <v>0.16351700903200794</v>
          </cell>
          <cell r="H53">
            <v>0.25079288758607143</v>
          </cell>
          <cell r="I53">
            <v>0.29224472529773654</v>
          </cell>
          <cell r="J53">
            <v>0.32272793743029093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9.2187361622619672</v>
          </cell>
          <cell r="F54">
            <v>10.684672670743058</v>
          </cell>
          <cell r="G54">
            <v>11.186977752532499</v>
          </cell>
          <cell r="H54">
            <v>13.432107365432747</v>
          </cell>
          <cell r="I54">
            <v>9.7248083899139068</v>
          </cell>
          <cell r="J54">
            <v>8.6802545009254839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0.627672432719526</v>
          </cell>
          <cell r="F55">
            <v>1.9890113906361402E-5</v>
          </cell>
          <cell r="G55">
            <v>3.2273070702410402E-7</v>
          </cell>
          <cell r="H55">
            <v>4.8466411937996105E-7</v>
          </cell>
          <cell r="I55">
            <v>2.5361279514624001E-7</v>
          </cell>
          <cell r="J55">
            <v>1.86565228372287E-7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0.627672432719526</v>
          </cell>
          <cell r="F56">
            <v>0.62769232283343301</v>
          </cell>
          <cell r="G56">
            <v>0.62769264556413995</v>
          </cell>
          <cell r="H56">
            <v>0.62769313022825901</v>
          </cell>
          <cell r="I56">
            <v>0.62769362372083803</v>
          </cell>
          <cell r="J56">
            <v>0.62769381028606597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6.7765747171800389E-3</v>
          </cell>
          <cell r="F57">
            <v>3.5305875300924611E-4</v>
          </cell>
          <cell r="G57">
            <v>3.1237317701465796E-3</v>
          </cell>
          <cell r="H57">
            <v>6.4854877093767707E-4</v>
          </cell>
          <cell r="I57">
            <v>1.2817606568745003E-2</v>
          </cell>
          <cell r="J57">
            <v>2.1055576548114708E-3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6.7765747171800615E-3</v>
          </cell>
          <cell r="F58">
            <v>3.5282353731770161E-4</v>
          </cell>
          <cell r="G58">
            <v>3.1204812688248908E-3</v>
          </cell>
          <cell r="H58">
            <v>6.4854877093767707E-4</v>
          </cell>
          <cell r="I58">
            <v>1.2817606568745036E-2</v>
          </cell>
          <cell r="J58">
            <v>2.1055576548114729E-3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9.0283743097631635E-3</v>
          </cell>
          <cell r="F59">
            <v>4.645906463991462E-4</v>
          </cell>
          <cell r="G59">
            <v>4.0320492303199075E-3</v>
          </cell>
          <cell r="H59">
            <v>8.1211999865862751E-4</v>
          </cell>
          <cell r="I59">
            <v>1.5081007862067961E-2</v>
          </cell>
          <cell r="J59">
            <v>2.3409360967633817E-3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9.0283743097631635E-3</v>
          </cell>
          <cell r="F60">
            <v>4.645906463991462E-4</v>
          </cell>
          <cell r="G60">
            <v>4.0320492303199075E-3</v>
          </cell>
          <cell r="H60">
            <v>8.1211999865862751E-4</v>
          </cell>
          <cell r="I60">
            <v>1.5081007862067961E-2</v>
          </cell>
          <cell r="J60">
            <v>2.3409360967633817E-3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3.05284845077354E-3</v>
          </cell>
          <cell r="F61">
            <v>5.4379171402624701E-5</v>
          </cell>
          <cell r="G61">
            <v>4.4622585594114697E-5</v>
          </cell>
          <cell r="H61">
            <v>2.6650847860909699E-5</v>
          </cell>
          <cell r="I61">
            <v>2.6500078005965998E-4</v>
          </cell>
          <cell r="J61">
            <v>3.3947117927596602E-4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3.05284845077354E-3</v>
          </cell>
          <cell r="F62">
            <v>3.1016026875057435E-3</v>
          </cell>
          <cell r="G62">
            <v>3.1282490626086349E-3</v>
          </cell>
          <cell r="H62">
            <v>3.1037104417573455E-3</v>
          </cell>
          <cell r="I62">
            <v>2.6113584131521399E-3</v>
          </cell>
          <cell r="J62">
            <v>1.5059450727961025E-3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3.0106950784304079E-3</v>
          </cell>
          <cell r="I63">
            <v>2.4708284165632171E-3</v>
          </cell>
          <cell r="J63">
            <v>1.2883324034640503E-3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1.1152507648384789E-3</v>
          </cell>
          <cell r="I64">
            <v>9.5471935182740773E-4</v>
          </cell>
          <cell r="J64">
            <v>5.1837761962898873E-4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4.8434525181384469E-3</v>
          </cell>
          <cell r="I65">
            <v>4.6753558052779857E-3</v>
          </cell>
          <cell r="J65">
            <v>2.1242282503153857E-3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9.9228791378343193E-5</v>
          </cell>
          <cell r="I66">
            <v>1.2709245266608501E-5</v>
          </cell>
          <cell r="J66">
            <v>3.51949500721758E-5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9.9228791378343193E-5</v>
          </cell>
          <cell r="I67">
            <v>8.5756103389906767E-5</v>
          </cell>
          <cell r="J67">
            <v>4.6629699419380448E-5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3.5600042894966295</v>
          </cell>
          <cell r="F68">
            <v>3.4647174424554592</v>
          </cell>
          <cell r="G68">
            <v>2.0975039171255492E-3</v>
          </cell>
          <cell r="H68">
            <v>2.9402337953044606</v>
          </cell>
          <cell r="I68">
            <v>2.8655744040051055E-4</v>
          </cell>
          <cell r="J68">
            <v>2.1589792879176303E-4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330.01239763633799</v>
          </cell>
          <cell r="F69">
            <v>321.179306915621</v>
          </cell>
          <cell r="G69">
            <v>0.19443861311753899</v>
          </cell>
          <cell r="H69">
            <v>272.55967282472301</v>
          </cell>
          <cell r="I69">
            <v>2.65638747251273E-2</v>
          </cell>
          <cell r="J69">
            <v>2.00137379989964E-2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3.5600042894966295</v>
          </cell>
          <cell r="F70">
            <v>3.4647174424554592</v>
          </cell>
          <cell r="G70">
            <v>2.0975039171255492E-3</v>
          </cell>
          <cell r="H70">
            <v>2.9402337953044606</v>
          </cell>
          <cell r="I70">
            <v>2.8655744040051055E-4</v>
          </cell>
          <cell r="J70">
            <v>2.1589792879176303E-4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9.7042185448581794E-5</v>
          </cell>
          <cell r="F71">
            <v>1.0264420252422424E-4</v>
          </cell>
          <cell r="G71">
            <v>4.443421300288077E-5</v>
          </cell>
          <cell r="H71">
            <v>1.0020155931664031E-3</v>
          </cell>
          <cell r="I71">
            <v>4.8890524516616565E-3</v>
          </cell>
          <cell r="J71">
            <v>1.6591177800247656E-3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9.7042185448581943E-5</v>
          </cell>
          <cell r="F72">
            <v>1.025758186451276E-4</v>
          </cell>
          <cell r="G72">
            <v>4.4387975528372072E-5</v>
          </cell>
          <cell r="H72">
            <v>1.0020155931664031E-3</v>
          </cell>
          <cell r="I72">
            <v>4.8890524516616799E-3</v>
          </cell>
          <cell r="J72">
            <v>1.6591177800247675E-3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7.6092834365034409E-5</v>
          </cell>
          <cell r="F73">
            <v>7.8344285583347004E-5</v>
          </cell>
          <cell r="G73">
            <v>3.5454923604210354E-5</v>
          </cell>
          <cell r="H73">
            <v>1.2539558648494774E-3</v>
          </cell>
          <cell r="I73">
            <v>5.7532980367804966E-3</v>
          </cell>
          <cell r="J73">
            <v>1.8448917914644727E-3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7.6092834365034409E-5</v>
          </cell>
          <cell r="F74">
            <v>7.8344285583347004E-5</v>
          </cell>
          <cell r="G74">
            <v>3.5454923604210354E-5</v>
          </cell>
          <cell r="H74">
            <v>1.2539558648494774E-3</v>
          </cell>
          <cell r="I74">
            <v>5.7532980367804966E-3</v>
          </cell>
          <cell r="J74">
            <v>1.8448917914644727E-3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3.04732535255516E-3</v>
          </cell>
          <cell r="F75">
            <v>7.6898165074044503E-5</v>
          </cell>
          <cell r="G75">
            <v>1.1829353601754499E-4</v>
          </cell>
          <cell r="H75">
            <v>9.6962733943456003E-5</v>
          </cell>
          <cell r="I75">
            <v>2.8050801828694499E-4</v>
          </cell>
          <cell r="J75">
            <v>5.8345669831695905E-4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3.04732535255516E-3</v>
          </cell>
          <cell r="F76">
            <v>3.1151108915313339E-3</v>
          </cell>
          <cell r="G76">
            <v>3.2097747770703658E-3</v>
          </cell>
          <cell r="H76">
            <v>3.2690403067500559E-3</v>
          </cell>
          <cell r="I76">
            <v>4.1809509823778372E-3</v>
          </cell>
          <cell r="J76">
            <v>2.394756681749793E-3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0.16952336822699518</v>
          </cell>
          <cell r="J77">
            <v>405.33732876233347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-0.16952336822699501</v>
          </cell>
          <cell r="J78">
            <v>-405.33732876233302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1.8405896024327084E-3</v>
          </cell>
          <cell r="J79">
            <v>4.4413007175727852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0.23030033959934501</v>
          </cell>
          <cell r="J80">
            <v>457.13218097679402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4.0833393545983135E-3</v>
          </cell>
          <cell r="J81">
            <v>8.1051805137729378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3.0804233373459699E-4</v>
          </cell>
          <cell r="J82">
            <v>0.19625414980248584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3.0804233373459699E-4</v>
          </cell>
          <cell r="J83">
            <v>0.19594625835705001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3.0804233373459699E-4</v>
          </cell>
          <cell r="J84">
            <v>0.19625414980248526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5.9397313076087264E-4</v>
          </cell>
          <cell r="J85">
            <v>0.71175194039821144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1.0168849670891891</v>
          </cell>
          <cell r="J86">
            <v>1088.6114122475767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-1.01688496708919</v>
          </cell>
          <cell r="J87">
            <v>-1088.6114122475799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5.5730536183430978E-3</v>
          </cell>
          <cell r="J88">
            <v>6.3061221919281492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1.1425673787519</v>
          </cell>
          <cell r="J89">
            <v>1223.1588901658199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1.2312148477929942E-2</v>
          </cell>
          <cell r="J90">
            <v>13.180591488855759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6.6487824539326995E-5</v>
          </cell>
          <cell r="J91">
            <v>4.2913842690006497E-2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6.6487824539326995E-5</v>
          </cell>
          <cell r="J92">
            <v>4.2980303651004713E-2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1.8669480256315599E-2</v>
          </cell>
          <cell r="I93">
            <v>6.4979504295457402E-2</v>
          </cell>
          <cell r="J93">
            <v>5.3038715851959101E-2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1.5571140979735583E-4</v>
          </cell>
          <cell r="I94">
            <v>5.3734824119505914E-4</v>
          </cell>
          <cell r="J94">
            <v>4.2318124349967389E-4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1.3902804446192486E-4</v>
          </cell>
          <cell r="I95">
            <v>5.0693230301420626E-4</v>
          </cell>
          <cell r="J95">
            <v>4.2318124349967389E-4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3.3101915348077323E-4</v>
          </cell>
          <cell r="I96">
            <v>1.1521188704868327E-3</v>
          </cell>
          <cell r="J96">
            <v>9.4040276333260862E-4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1.25431847837819E-5</v>
          </cell>
          <cell r="I97">
            <v>4.3420625018894199E-6</v>
          </cell>
          <cell r="J97">
            <v>7.9759987272354096E-6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1.25431847837819E-5</v>
          </cell>
          <cell r="I98">
            <v>4.4556223045564188E-5</v>
          </cell>
          <cell r="J98">
            <v>3.759635033304986E-5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311.45743510570998</v>
          </cell>
          <cell r="F99">
            <v>54.719861251955599</v>
          </cell>
          <cell r="G99">
            <v>352.17521636248898</v>
          </cell>
          <cell r="H99">
            <v>382.40336823359098</v>
          </cell>
          <cell r="I99">
            <v>118.210200099559</v>
          </cell>
          <cell r="J99">
            <v>91.719197327126295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5.7124761437811724</v>
          </cell>
          <cell r="F100">
            <v>0.96740953791933049</v>
          </cell>
          <cell r="G100">
            <v>7.0184182172152614</v>
          </cell>
          <cell r="H100">
            <v>6.9679283722850824</v>
          </cell>
          <cell r="I100">
            <v>3.4014778049862406</v>
          </cell>
          <cell r="J100">
            <v>9.9566100954519392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5.5222949486827897</v>
          </cell>
          <cell r="F101">
            <v>0.97021030588573698</v>
          </cell>
          <cell r="G101">
            <v>6.2442414248668241</v>
          </cell>
          <cell r="H101">
            <v>6.7802015644253766</v>
          </cell>
          <cell r="I101">
            <v>2.095925533680119</v>
          </cell>
          <cell r="J101">
            <v>1.6262269029632324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0.20843038328364374</v>
          </cell>
          <cell r="F102">
            <v>2.8973749310964652E-4</v>
          </cell>
          <cell r="G102">
            <v>0.79263793128961557</v>
          </cell>
          <cell r="H102">
            <v>4.2646994778832228E-4</v>
          </cell>
          <cell r="I102">
            <v>1.2945125860649702</v>
          </cell>
          <cell r="J102">
            <v>8.3420229186639556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3.9758274248078403E-3</v>
          </cell>
          <cell r="H103">
            <v>0.20961546088979494</v>
          </cell>
          <cell r="I103">
            <v>2.1944885683589141E-2</v>
          </cell>
          <cell r="J103">
            <v>2.0232102678669279E-2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3.1324747111348802E-6</v>
          </cell>
          <cell r="F104">
            <v>5.2997143059092504E-7</v>
          </cell>
          <cell r="G104">
            <v>7.1633112593069403E-7</v>
          </cell>
          <cell r="H104">
            <v>1.0395019403056499E-6</v>
          </cell>
          <cell r="I104">
            <v>2.6426350845977E-6</v>
          </cell>
          <cell r="J104">
            <v>4.7189794239783303E-6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1.0275151270156913</v>
          </cell>
          <cell r="F105">
            <v>1.0275156569871218</v>
          </cell>
          <cell r="G105">
            <v>1.0275163733182477</v>
          </cell>
          <cell r="H105">
            <v>1.027517412820188</v>
          </cell>
          <cell r="I105">
            <v>1.0275220279754265</v>
          </cell>
          <cell r="J105">
            <v>0.72469143372863043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689.197859826632</v>
          </cell>
          <cell r="F106">
            <v>648.10760250032502</v>
          </cell>
          <cell r="G106">
            <v>595.66321077916996</v>
          </cell>
          <cell r="H106">
            <v>519.70966941093002</v>
          </cell>
          <cell r="I106">
            <v>216.57187518380101</v>
          </cell>
          <cell r="J106">
            <v>1.3843464515861999E-4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9.1952164501967886</v>
          </cell>
          <cell r="F107">
            <v>8.6469938973805149</v>
          </cell>
          <cell r="G107">
            <v>7.947569608682703</v>
          </cell>
          <cell r="H107">
            <v>6.9341957739535962</v>
          </cell>
          <cell r="I107">
            <v>3.1176785131137836</v>
          </cell>
          <cell r="J107">
            <v>0.22820647807538408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9.351395655720923</v>
          </cell>
          <cell r="F108">
            <v>8.7938616350112007</v>
          </cell>
          <cell r="G108">
            <v>8.0822688029738181</v>
          </cell>
          <cell r="H108">
            <v>7.0516915795241628</v>
          </cell>
          <cell r="I108">
            <v>2.9385600431994696</v>
          </cell>
          <cell r="J108">
            <v>1.8783533942824976E-6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2.889393819341482E-4</v>
          </cell>
          <cell r="H109">
            <v>2.8973140430075801E-4</v>
          </cell>
          <cell r="I109">
            <v>0.2321115990585417</v>
          </cell>
          <cell r="J109">
            <v>0.2321105972173069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1.732901331707283</v>
          </cell>
          <cell r="F110">
            <v>0.82010066934790371</v>
          </cell>
          <cell r="G110">
            <v>5.9753850953351897</v>
          </cell>
          <cell r="H110">
            <v>5.9477909579930026</v>
          </cell>
          <cell r="I110">
            <v>1.6514694684531011</v>
          </cell>
          <cell r="J110">
            <v>1.2786503303763462E-4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114.38359403050799</v>
          </cell>
          <cell r="F111">
            <v>54.132373442415798</v>
          </cell>
          <cell r="G111">
            <v>394.41716063971501</v>
          </cell>
          <cell r="H111">
            <v>392.59575480106798</v>
          </cell>
          <cell r="I111">
            <v>109.008522168547</v>
          </cell>
          <cell r="J111">
            <v>8.4399854521808298E-3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2.0280779083423366</v>
          </cell>
          <cell r="F112">
            <v>0.95979385536198147</v>
          </cell>
          <cell r="G112">
            <v>6.9932120680800436</v>
          </cell>
          <cell r="H112">
            <v>6.9609176383168023</v>
          </cell>
          <cell r="I112">
            <v>1.9327752157543774</v>
          </cell>
          <cell r="J112">
            <v>1.4964513213086569E-4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3.2221745253094E-5</v>
          </cell>
          <cell r="F113">
            <v>4.0804367066715298E-5</v>
          </cell>
          <cell r="G113">
            <v>6.6721602483919507E-2</v>
          </cell>
          <cell r="H113">
            <v>0.37672216214634602</v>
          </cell>
          <cell r="I113">
            <v>8.4202091888830896E-6</v>
          </cell>
          <cell r="J113">
            <v>6.8572629025944103E-6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0.69124597685755096</v>
          </cell>
          <cell r="F114">
            <v>0.69128144569634409</v>
          </cell>
          <cell r="G114">
            <v>0.75799716015933394</v>
          </cell>
          <cell r="H114">
            <v>0.75441453276244319</v>
          </cell>
          <cell r="I114">
            <v>0.20954098317710299</v>
          </cell>
          <cell r="J114">
            <v>1.1530539170999943E-3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15.013806715456084</v>
          </cell>
          <cell r="F115">
            <v>8.106216161502358</v>
          </cell>
          <cell r="G115">
            <v>2.5294331896567166</v>
          </cell>
          <cell r="H115">
            <v>1.7627453361222949</v>
          </cell>
          <cell r="I115">
            <v>4.5692894504082</v>
          </cell>
          <cell r="J115">
            <v>4.3838219769957165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15.013806715456084</v>
          </cell>
          <cell r="F116">
            <v>8.106216161502358</v>
          </cell>
          <cell r="G116">
            <v>2.5294331896567166</v>
          </cell>
          <cell r="H116">
            <v>1.7627453361222949</v>
          </cell>
          <cell r="I116">
            <v>4.5692894504082</v>
          </cell>
          <cell r="J116">
            <v>4.3838219769957165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1.47725284220515E-6</v>
          </cell>
          <cell r="F117">
            <v>1.26978368775432E-6</v>
          </cell>
          <cell r="G117">
            <v>1.8056893484844499E-6</v>
          </cell>
          <cell r="H117">
            <v>2.8077848863997098E-6</v>
          </cell>
          <cell r="I117">
            <v>5.56673277106229E-3</v>
          </cell>
          <cell r="J117">
            <v>5.5492655355576402E-3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0.86236214623168195</v>
          </cell>
          <cell r="F118">
            <v>0.86233328431844591</v>
          </cell>
          <cell r="G118">
            <v>0.86232826105205695</v>
          </cell>
          <cell r="H118">
            <v>0.86232698022675425</v>
          </cell>
          <cell r="I118">
            <v>0.86232906749080784</v>
          </cell>
          <cell r="J118">
            <v>0.87268704632525673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1.4050484726013039</v>
          </cell>
          <cell r="F119">
            <v>1.3026788437632191</v>
          </cell>
          <cell r="G119">
            <v>1.3189399284426437</v>
          </cell>
          <cell r="H119">
            <v>1.3059160324807595</v>
          </cell>
          <cell r="I119">
            <v>1.2820613409009203</v>
          </cell>
          <cell r="J119">
            <v>0.50243698479225063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14.15981647264652</v>
          </cell>
          <cell r="F120">
            <v>13.083218702374753</v>
          </cell>
          <cell r="G120">
            <v>13.178288957641847</v>
          </cell>
          <cell r="H120">
            <v>12.935541185491962</v>
          </cell>
          <cell r="I120">
            <v>12.029157927889811</v>
          </cell>
          <cell r="J120">
            <v>4.4515916852593413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2783.9881462010899</v>
          </cell>
          <cell r="F121">
            <v>2581.1511346860402</v>
          </cell>
          <cell r="G121">
            <v>2613.3711383903101</v>
          </cell>
          <cell r="H121">
            <v>2587.5653582465702</v>
          </cell>
          <cell r="I121">
            <v>2540.2992461624799</v>
          </cell>
          <cell r="J121">
            <v>995.53761820398097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29.999872265097938</v>
          </cell>
          <cell r="F122">
            <v>27.81412860653057</v>
          </cell>
          <cell r="G122">
            <v>28.161326922309335</v>
          </cell>
          <cell r="H122">
            <v>27.883247394898397</v>
          </cell>
          <cell r="I122">
            <v>27.373914290543993</v>
          </cell>
          <cell r="J122">
            <v>10.727776058232559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2.6547778264990802E-7</v>
          </cell>
          <cell r="G123">
            <v>3.8988453244746598E-7</v>
          </cell>
          <cell r="H123">
            <v>6.2087855502611899E-7</v>
          </cell>
          <cell r="I123">
            <v>1.9332229987347901E-2</v>
          </cell>
          <cell r="J123">
            <v>3.0762132788162E-7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7.6766427473454538E-2</v>
          </cell>
          <cell r="F124">
            <v>7.2062184607514873E-2</v>
          </cell>
          <cell r="G124">
            <v>7.2061215995848263E-2</v>
          </cell>
          <cell r="H124">
            <v>7.1350031134689421E-2</v>
          </cell>
          <cell r="I124">
            <v>7.0046345494558307E-2</v>
          </cell>
          <cell r="J124">
            <v>4.1802256710816686E-2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4.1028273044605097</v>
          </cell>
          <cell r="F125">
            <v>1.6441742460759501</v>
          </cell>
          <cell r="G125">
            <v>0.94129941288892205</v>
          </cell>
          <cell r="H125">
            <v>0.31810042942773298</v>
          </cell>
          <cell r="I125">
            <v>0.69964457332311902</v>
          </cell>
          <cell r="J125">
            <v>0.29597891876642701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1.4897582226393922E-2</v>
          </cell>
          <cell r="F126">
            <v>7.8620896925165155E-3</v>
          </cell>
          <cell r="G126">
            <v>3.603826532822233E-3</v>
          </cell>
          <cell r="H126">
            <v>1.518770787480818E-3</v>
          </cell>
          <cell r="I126">
            <v>3.1420194390578168E-3</v>
          </cell>
          <cell r="J126">
            <v>1.4791812728569835E-3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3.5864549804281727E-2</v>
          </cell>
          <cell r="F127">
            <v>1.8735900515923009E-2</v>
          </cell>
          <cell r="G127">
            <v>8.4565982397177917E-3</v>
          </cell>
          <cell r="H127">
            <v>3.4714760856704467E-3</v>
          </cell>
          <cell r="I127">
            <v>7.055762950866685E-3</v>
          </cell>
          <cell r="J127">
            <v>3.2133937996548295E-3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7.2745164972703974E-2</v>
          </cell>
          <cell r="F128">
            <v>2.9152025639644485E-2</v>
          </cell>
          <cell r="G128">
            <v>1.6689705902285849E-2</v>
          </cell>
          <cell r="H128">
            <v>5.6400785359527247E-3</v>
          </cell>
          <cell r="I128">
            <v>1.2405045626296431E-2</v>
          </cell>
          <cell r="J128">
            <v>5.2478531696174922E-3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2.21702288247689E-7</v>
          </cell>
          <cell r="G129">
            <v>1.4362613153994401E-5</v>
          </cell>
          <cell r="H129">
            <v>3.39343301258531E-7</v>
          </cell>
          <cell r="I129">
            <v>8.95463400107803E-5</v>
          </cell>
          <cell r="J129">
            <v>1.3179730624784099E-7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4.1737138083724366E-3</v>
          </cell>
          <cell r="F130">
            <v>1.8043497862370182E-3</v>
          </cell>
          <cell r="G130">
            <v>9.2932819398126713E-4</v>
          </cell>
          <cell r="H130">
            <v>4.1440389515233164E-4</v>
          </cell>
          <cell r="I130">
            <v>2.7940445234616576E-4</v>
          </cell>
          <cell r="J130">
            <v>1.3167360872094389E-4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2.691729819300985E-3</v>
          </cell>
          <cell r="I131">
            <v>1.6788678815942994E-3</v>
          </cell>
          <cell r="J131">
            <v>9.2974733970670827E-4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7.1602665143967251E-3</v>
          </cell>
          <cell r="I132">
            <v>4.4659539707434604E-3</v>
          </cell>
          <cell r="J132">
            <v>2.473219524342971E-3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1.0485906618279103E-2</v>
          </cell>
          <cell r="I133">
            <v>7.0702550660895194E-3</v>
          </cell>
          <cell r="J133">
            <v>3.4110494527085267E-3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1.9988413540768E-4</v>
          </cell>
          <cell r="I134">
            <v>2.2543023248014E-6</v>
          </cell>
          <cell r="J134">
            <v>6.81824835341301E-5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1.9988413540768E-4</v>
          </cell>
          <cell r="I135">
            <v>1.4052535501203481E-4</v>
          </cell>
          <cell r="J135">
            <v>7.0591801272680113E-5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28.948622095482548</v>
          </cell>
          <cell r="F136">
            <v>24.255042997344081</v>
          </cell>
          <cell r="G136">
            <v>29.089280127419361</v>
          </cell>
          <cell r="H136">
            <v>15.063902073995603</v>
          </cell>
          <cell r="I136">
            <v>10.609364136600256</v>
          </cell>
          <cell r="J136">
            <v>7.24713848606679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28.948622095482548</v>
          </cell>
          <cell r="F137">
            <v>24.255042997344081</v>
          </cell>
          <cell r="G137">
            <v>29.089280127419361</v>
          </cell>
          <cell r="H137">
            <v>15.063902073995603</v>
          </cell>
          <cell r="I137">
            <v>10.609364136600256</v>
          </cell>
          <cell r="J137">
            <v>7.24713848606679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1.59335998704612E-6</v>
          </cell>
          <cell r="F138">
            <v>1.34287266220563E-6</v>
          </cell>
          <cell r="G138">
            <v>1.42698390161239E-6</v>
          </cell>
          <cell r="H138">
            <v>1.4113831582899299E-6</v>
          </cell>
          <cell r="I138">
            <v>1.6100866455577199E-6</v>
          </cell>
          <cell r="J138">
            <v>2.2617716546064002E-6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1.6999981567232962</v>
          </cell>
          <cell r="F139">
            <v>1.6999964245276062</v>
          </cell>
          <cell r="G139">
            <v>1.6999955645385187</v>
          </cell>
          <cell r="H139">
            <v>1.6999956253694855</v>
          </cell>
          <cell r="I139">
            <v>1.1999996674481621</v>
          </cell>
          <cell r="J139">
            <v>1.1999996122951437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76.40467186598994</v>
          </cell>
          <cell r="J140">
            <v>714.96049128426648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-76.404671865989897</v>
          </cell>
          <cell r="J141">
            <v>-714.96049128426603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0.30443057440439586</v>
          </cell>
          <cell r="J142">
            <v>2.0107457673196536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6.010429109085777E-2</v>
          </cell>
          <cell r="J143">
            <v>0.59274740105195012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100.002504010835</v>
          </cell>
          <cell r="J144">
            <v>986.22283493043096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1.0776131897719263</v>
          </cell>
          <cell r="J145">
            <v>10.627401238474469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6.7207958207808E-3</v>
          </cell>
          <cell r="J146">
            <v>5.2768080302265999E-2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6.7207958207808E-3</v>
          </cell>
          <cell r="J147">
            <v>5.9488831361328764E-2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4.1111432137134397E-2</v>
          </cell>
          <cell r="I148">
            <v>3.08230162393673</v>
          </cell>
          <cell r="J148">
            <v>11.4120476796034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3.4288683825014219E-4</v>
          </cell>
          <cell r="I149">
            <v>2.5489104209292325E-2</v>
          </cell>
          <cell r="J149">
            <v>9.10535719117294E-2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3.0614896272334138E-4</v>
          </cell>
          <cell r="I150">
            <v>2.4046324725747484E-2</v>
          </cell>
          <cell r="J150">
            <v>9.10535719117294E-2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7.2892610172224127E-4</v>
          </cell>
          <cell r="I151">
            <v>5.4650738013062486E-2</v>
          </cell>
          <cell r="J151">
            <v>0.20234127091495435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3.81548088092168E-5</v>
          </cell>
          <cell r="I152">
            <v>1.92943418387205E-3</v>
          </cell>
          <cell r="J152">
            <v>6.0195214155203004E-3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3.81548088092168E-5</v>
          </cell>
          <cell r="I153">
            <v>2.1374043909169593E-3</v>
          </cell>
          <cell r="J153">
            <v>8.0940222902157379E-3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1.9064323974566709E-3</v>
          </cell>
          <cell r="G154">
            <v>2.0664016764483915E-3</v>
          </cell>
          <cell r="H154">
            <v>2.1067413111770261E-3</v>
          </cell>
          <cell r="I154">
            <v>2.2235596300085813E-3</v>
          </cell>
          <cell r="J154">
            <v>2.2971597205437349E-3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1.9064323974566709E-3</v>
          </cell>
          <cell r="G155">
            <v>2.0664016764483915E-3</v>
          </cell>
          <cell r="H155">
            <v>2.1067413111770261E-3</v>
          </cell>
          <cell r="I155">
            <v>2.2235596300085813E-3</v>
          </cell>
          <cell r="J155">
            <v>2.2971597205437349E-3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1.72104792540758E-4</v>
          </cell>
          <cell r="G156">
            <v>1.6597322905489599E-5</v>
          </cell>
          <cell r="H156">
            <v>2.04160476505251E-7</v>
          </cell>
          <cell r="I156">
            <v>2.9195935905389402E-6</v>
          </cell>
          <cell r="J156">
            <v>1.2974214110446E-7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1.72104792540758E-4</v>
          </cell>
          <cell r="G157">
            <v>1.88702115446247E-4</v>
          </cell>
          <cell r="H157">
            <v>1.8890627592275301E-4</v>
          </cell>
          <cell r="I157">
            <v>1.91906002528783E-4</v>
          </cell>
          <cell r="J157">
            <v>1.9203574466988699E-4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0.1125882352323514</v>
          </cell>
          <cell r="F158">
            <v>0.11206555606583969</v>
          </cell>
          <cell r="G158">
            <v>0.10855955704427284</v>
          </cell>
          <cell r="H158">
            <v>0.13842296791308795</v>
          </cell>
          <cell r="I158">
            <v>0.13838889489521775</v>
          </cell>
          <cell r="J158">
            <v>0.19687261920848581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5.6294117616175656</v>
          </cell>
          <cell r="F159">
            <v>5.6032778032919843</v>
          </cell>
          <cell r="G159">
            <v>5.427977852213643</v>
          </cell>
          <cell r="H159">
            <v>6.9211483956543942</v>
          </cell>
          <cell r="I159">
            <v>6.9194447447608782</v>
          </cell>
          <cell r="J159">
            <v>9.8436309604242833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9.6793714232612977</v>
          </cell>
          <cell r="F160">
            <v>9.6344359486317597</v>
          </cell>
          <cell r="G160">
            <v>9.3330202041776289</v>
          </cell>
          <cell r="H160">
            <v>11.900420298585198</v>
          </cell>
          <cell r="I160">
            <v>11.897490992563132</v>
          </cell>
          <cell r="J160">
            <v>16.925420319952387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4.0973138465308298E-3</v>
          </cell>
          <cell r="F161">
            <v>6.4550323541855496E-6</v>
          </cell>
          <cell r="G161">
            <v>1.20116419536296E-6</v>
          </cell>
          <cell r="H161">
            <v>0.12281594423867501</v>
          </cell>
          <cell r="I161">
            <v>1.9423902435595101E-2</v>
          </cell>
          <cell r="J161">
            <v>0.22670173098811799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0.21266751865117853</v>
          </cell>
          <cell r="F162">
            <v>0.21170253740580727</v>
          </cell>
          <cell r="G162">
            <v>0.21170102437349858</v>
          </cell>
          <cell r="H162">
            <v>0.26146590265014652</v>
          </cell>
          <cell r="I162">
            <v>0.26140001587860401</v>
          </cell>
          <cell r="J162">
            <v>0.37187086732172014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0.11746254106462783</v>
          </cell>
          <cell r="J163">
            <v>1.1026369062385522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-0.117462541064628</v>
          </cell>
          <cell r="J164">
            <v>-1.1026369062385499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7.5818518019243224E-4</v>
          </cell>
          <cell r="J165">
            <v>7.1171877763425463E-3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8.5872667406736343E-4</v>
          </cell>
          <cell r="J166">
            <v>7.8663654370101956E-3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0.15262175683447601</v>
          </cell>
          <cell r="J167">
            <v>1.24624150509558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2.7060595183417708E-3</v>
          </cell>
          <cell r="J168">
            <v>2.2096480586801123E-2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1.8080357261686299E-4</v>
          </cell>
          <cell r="J169">
            <v>2.2152492676370101E-4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1.8080357261686299E-4</v>
          </cell>
          <cell r="J170">
            <v>4.0209865971632387E-4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3.294455214415414</v>
          </cell>
          <cell r="G171">
            <v>6.8323881202784733</v>
          </cell>
          <cell r="H171">
            <v>17.902342735883629</v>
          </cell>
          <cell r="I171">
            <v>19.775331397756425</v>
          </cell>
          <cell r="J171">
            <v>21.844271382989032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3.294455214415414</v>
          </cell>
          <cell r="G172">
            <v>6.8323881202784733</v>
          </cell>
          <cell r="H172">
            <v>17.902342735883629</v>
          </cell>
          <cell r="I172">
            <v>19.775331397756425</v>
          </cell>
          <cell r="J172">
            <v>21.844271382989032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3.29445521441541</v>
          </cell>
          <cell r="G173">
            <v>6.8323881202784698</v>
          </cell>
          <cell r="H173">
            <v>17.9023427358836</v>
          </cell>
          <cell r="I173">
            <v>19.7753313977564</v>
          </cell>
          <cell r="J173">
            <v>21.844271382989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6.0235125728416002E-8</v>
          </cell>
          <cell r="G174">
            <v>1.00471256419924</v>
          </cell>
          <cell r="H174">
            <v>3.0653517383223501</v>
          </cell>
          <cell r="I174">
            <v>0.68412847451424796</v>
          </cell>
          <cell r="J174">
            <v>4.2340660212918104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1.1231013218031358</v>
          </cell>
          <cell r="G175">
            <v>2.1799416244343703</v>
          </cell>
          <cell r="H175">
            <v>5.1607235409973899</v>
          </cell>
          <cell r="I175">
            <v>5.7006516578415489</v>
          </cell>
          <cell r="J175">
            <v>6.2970667395723101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5.6100039313269772</v>
          </cell>
          <cell r="F176">
            <v>6.0767049715800754</v>
          </cell>
          <cell r="G176">
            <v>6.8674032595687251</v>
          </cell>
          <cell r="H176">
            <v>8.3290056176157812</v>
          </cell>
          <cell r="I176">
            <v>8.1522905379863602</v>
          </cell>
          <cell r="J176">
            <v>6.9557151024256498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6.0987800075471092</v>
          </cell>
          <cell r="F177">
            <v>6.6044065747569443</v>
          </cell>
          <cell r="G177">
            <v>7.4608279791030734</v>
          </cell>
          <cell r="H177">
            <v>9.0427909911435638</v>
          </cell>
          <cell r="I177">
            <v>8.8393284359983966</v>
          </cell>
          <cell r="J177">
            <v>7.5320368790855667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0.84970024845882697</v>
          </cell>
          <cell r="F178">
            <v>8.0164711759327795E-8</v>
          </cell>
          <cell r="G178">
            <v>9.1985153734822296E-8</v>
          </cell>
          <cell r="H178">
            <v>1.06284386491287E-7</v>
          </cell>
          <cell r="I178">
            <v>1.9512310414978999E-7</v>
          </cell>
          <cell r="J178">
            <v>1.79524410130291E-7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0.84970024845882697</v>
          </cell>
          <cell r="F179">
            <v>0.84970032862353895</v>
          </cell>
          <cell r="G179">
            <v>0.849700420608692</v>
          </cell>
          <cell r="H179">
            <v>0.84970052689307896</v>
          </cell>
          <cell r="I179">
            <v>0.84970087843186004</v>
          </cell>
          <cell r="J179">
            <v>0.84970105795627004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5.7735547059144937E-4</v>
          </cell>
          <cell r="G180">
            <v>1.168415579537362E-3</v>
          </cell>
          <cell r="H180">
            <v>2.6673733266101431E-2</v>
          </cell>
          <cell r="I180">
            <v>2.7955677696256627E-2</v>
          </cell>
          <cell r="J180">
            <v>0.85143684751004667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5.7735547059144937E-4</v>
          </cell>
          <cell r="G181">
            <v>1.168415579537362E-3</v>
          </cell>
          <cell r="H181">
            <v>2.6673733266101431E-2</v>
          </cell>
          <cell r="I181">
            <v>2.7955677696256627E-2</v>
          </cell>
          <cell r="J181">
            <v>0.85143684751004667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4.9775060204919999E-5</v>
          </cell>
          <cell r="G182">
            <v>4.59683423998776E-5</v>
          </cell>
          <cell r="H182">
            <v>1.5777234299123E-3</v>
          </cell>
          <cell r="I182">
            <v>3.1630161801440001E-6</v>
          </cell>
          <cell r="J182">
            <v>4.8734917542848401E-2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4.9775060204919999E-5</v>
          </cell>
          <cell r="G183">
            <v>9.5743402604797599E-5</v>
          </cell>
          <cell r="H183">
            <v>1.67346683251709E-3</v>
          </cell>
          <cell r="I183">
            <v>1.6797581308833299E-3</v>
          </cell>
          <cell r="J183">
            <v>5.0414675673731701E-2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3.0068799046773773E-2</v>
          </cell>
          <cell r="G184">
            <v>3.0231205516173355E-2</v>
          </cell>
          <cell r="H184">
            <v>3.1506934162141204E-2</v>
          </cell>
          <cell r="I184">
            <v>3.4724529302243019E-2</v>
          </cell>
          <cell r="J184">
            <v>3.260932982390051E-2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3.0068799046773773E-2</v>
          </cell>
          <cell r="G185">
            <v>3.0231205516173355E-2</v>
          </cell>
          <cell r="H185">
            <v>3.1506934162141204E-2</v>
          </cell>
          <cell r="I185">
            <v>3.4724529302243019E-2</v>
          </cell>
          <cell r="J185">
            <v>3.260932982390051E-2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2.7061867392043702E-3</v>
          </cell>
          <cell r="G186">
            <v>2.8025222841517E-6</v>
          </cell>
          <cell r="I186">
            <v>1.4405034408712901E-6</v>
          </cell>
          <cell r="J186">
            <v>5.4178153889750297E-8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2.7061867392043702E-3</v>
          </cell>
          <cell r="G187">
            <v>2.7089892614885198E-3</v>
          </cell>
          <cell r="H187">
            <v>2.7089892614885198E-3</v>
          </cell>
          <cell r="I187">
            <v>2.7104297649293901E-3</v>
          </cell>
          <cell r="J187">
            <v>2.7104839430832799E-3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0.6599255756172705</v>
          </cell>
          <cell r="F188">
            <v>1.8165324169745556</v>
          </cell>
          <cell r="G188">
            <v>3.3655790733042559</v>
          </cell>
          <cell r="H188">
            <v>3.1669965879166737</v>
          </cell>
          <cell r="I188">
            <v>4.0485814561146016</v>
          </cell>
          <cell r="J188">
            <v>0.8349525116609714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0.17255535447939477</v>
          </cell>
          <cell r="F189">
            <v>0.52159944463074903</v>
          </cell>
          <cell r="G189">
            <v>1.1332273049278159</v>
          </cell>
          <cell r="H189">
            <v>1.4971256597424241</v>
          </cell>
          <cell r="I189">
            <v>1.9138748701632613</v>
          </cell>
          <cell r="J189">
            <v>0.39470482369427667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0.87354378140829003</v>
          </cell>
          <cell r="F190">
            <v>2.3100462794285841</v>
          </cell>
          <cell r="G190">
            <v>4.8509388326815097</v>
          </cell>
          <cell r="H190">
            <v>4.4244585721345739</v>
          </cell>
          <cell r="I190">
            <v>5.4259446650715191</v>
          </cell>
          <cell r="J190">
            <v>1.0744008842988302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1.76071310621746E-2</v>
          </cell>
          <cell r="G191">
            <v>2.26147574078534E-2</v>
          </cell>
          <cell r="H191">
            <v>3.79983784668032E-2</v>
          </cell>
          <cell r="I191">
            <v>1.16400423689726E-2</v>
          </cell>
          <cell r="J191">
            <v>2.6501313354881901E-7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6.5475274181891908E-3</v>
          </cell>
          <cell r="F192">
            <v>1.92860432952487E-2</v>
          </cell>
          <cell r="G192">
            <v>4.1900622419507476E-2</v>
          </cell>
          <cell r="H192">
            <v>7.9898235382418137E-2</v>
          </cell>
          <cell r="I192">
            <v>9.1449654973071309E-2</v>
          </cell>
          <cell r="J192">
            <v>2.9531321171605757E-2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1.8150310847688546E-3</v>
          </cell>
          <cell r="G193">
            <v>1.859075485674918E-3</v>
          </cell>
          <cell r="H193">
            <v>2.5413674401802552E-3</v>
          </cell>
          <cell r="I193">
            <v>2.7767508362472023E-3</v>
          </cell>
          <cell r="J193">
            <v>2.7894805183723034E-3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1.8150310847688546E-3</v>
          </cell>
          <cell r="G194">
            <v>1.859075485674918E-3</v>
          </cell>
          <cell r="H194">
            <v>2.5413674401802552E-3</v>
          </cell>
          <cell r="I194">
            <v>2.7767508362472023E-3</v>
          </cell>
          <cell r="J194">
            <v>2.7894805183723034E-3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1.5627957764059299E-4</v>
          </cell>
          <cell r="G195">
            <v>1.39430474077448E-7</v>
          </cell>
          <cell r="H195">
            <v>4.12814304909618E-5</v>
          </cell>
          <cell r="I195">
            <v>1.9365437324059399E-7</v>
          </cell>
          <cell r="J195">
            <v>2.5285131641530698E-7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1.5627957764059299E-4</v>
          </cell>
          <cell r="G196">
            <v>1.56419008114671E-4</v>
          </cell>
          <cell r="H196">
            <v>1.9770043860563299E-4</v>
          </cell>
          <cell r="I196">
            <v>1.98243782039711E-4</v>
          </cell>
          <cell r="J196">
            <v>1.98496633356127E-4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3.700316952592046E-5</v>
          </cell>
          <cell r="F197">
            <v>2.8140522281564878E-5</v>
          </cell>
          <cell r="G197">
            <v>2.8743533469852446E-5</v>
          </cell>
          <cell r="H197">
            <v>5.8873535173778494E-3</v>
          </cell>
          <cell r="I197">
            <v>2.2822481082098584E-2</v>
          </cell>
          <cell r="J197">
            <v>5.6187703038661878E-2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3.7003169525920514E-5</v>
          </cell>
          <cell r="F198">
            <v>2.8163523474745238E-5</v>
          </cell>
          <cell r="G198">
            <v>2.8780242963428238E-5</v>
          </cell>
          <cell r="H198">
            <v>5.8873535173778399E-3</v>
          </cell>
          <cell r="I198">
            <v>2.2822481082098549E-2</v>
          </cell>
          <cell r="J198">
            <v>5.6187703038661878E-2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3.7003169525920514E-5</v>
          </cell>
          <cell r="F199">
            <v>2.8163523474745238E-5</v>
          </cell>
          <cell r="G199">
            <v>2.8780242963428238E-5</v>
          </cell>
          <cell r="H199">
            <v>6.7652737530282704E-3</v>
          </cell>
          <cell r="I199">
            <v>2.4539819099735388E-2</v>
          </cell>
          <cell r="J199">
            <v>5.6755477387724775E-2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3.7003169525920514E-5</v>
          </cell>
          <cell r="F200">
            <v>2.8163523474745238E-5</v>
          </cell>
          <cell r="G200">
            <v>2.8780242963428238E-5</v>
          </cell>
          <cell r="H200">
            <v>6.7652737530282704E-3</v>
          </cell>
          <cell r="I200">
            <v>2.4539819099735388E-2</v>
          </cell>
          <cell r="J200">
            <v>5.6755477387724775E-2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1.52656298579399E-3</v>
          </cell>
          <cell r="F201">
            <v>4.7810667726785503E-5</v>
          </cell>
          <cell r="G201">
            <v>7.1237428192388403E-5</v>
          </cell>
          <cell r="H201">
            <v>6.4065487360882002E-5</v>
          </cell>
          <cell r="I201">
            <v>1.28319957532184E-4</v>
          </cell>
          <cell r="J201">
            <v>2.4948610774255301E-3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1.52656298579399E-3</v>
          </cell>
          <cell r="F202">
            <v>1.5697137652419231E-3</v>
          </cell>
          <cell r="G202">
            <v>1.6286124055691859E-3</v>
          </cell>
          <cell r="H202">
            <v>1.6659331109421204E-3</v>
          </cell>
          <cell r="I202">
            <v>2.3328274885050845E-3</v>
          </cell>
          <cell r="J202">
            <v>3.4949334539928346E-3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5.5764472766988003E-5</v>
          </cell>
          <cell r="G203">
            <v>2.0819634171842232</v>
          </cell>
          <cell r="H203">
            <v>4.541739984884642</v>
          </cell>
          <cell r="I203">
            <v>5.0169231182805998</v>
          </cell>
          <cell r="J203">
            <v>5.5418136127359885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5.5764472766988003E-5</v>
          </cell>
          <cell r="G204">
            <v>2.0819634171842232</v>
          </cell>
          <cell r="H204">
            <v>4.541739984884642</v>
          </cell>
          <cell r="I204">
            <v>5.0169231182805998</v>
          </cell>
          <cell r="J204">
            <v>5.5418136127359885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5.5764472766988003E-5</v>
          </cell>
          <cell r="G205">
            <v>2.0819634171842201</v>
          </cell>
          <cell r="H205">
            <v>4.5417399848846403</v>
          </cell>
          <cell r="I205">
            <v>5.0169231182806104</v>
          </cell>
          <cell r="J205">
            <v>5.5418136127359796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1.9016531277355099E-5</v>
          </cell>
          <cell r="G206">
            <v>0.66425231590675504</v>
          </cell>
          <cell r="H206">
            <v>0.64498010399123396</v>
          </cell>
          <cell r="I206">
            <v>7.0203808070113394E-2</v>
          </cell>
          <cell r="J206">
            <v>1.30640190942019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1.9016531277355099E-5</v>
          </cell>
          <cell r="G207">
            <v>0.66427133243803205</v>
          </cell>
          <cell r="H207">
            <v>1.30925143642927</v>
          </cell>
          <cell r="I207">
            <v>1.44623301305124</v>
          </cell>
          <cell r="J207">
            <v>1.5975436164502199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0.96588093895724347</v>
          </cell>
          <cell r="F208">
            <v>1.0098322425074937E-3</v>
          </cell>
          <cell r="G208">
            <v>2.1235546443102264E-3</v>
          </cell>
          <cell r="H208">
            <v>1.0955597482838341E-3</v>
          </cell>
          <cell r="I208">
            <v>7.0219498185359538E-2</v>
          </cell>
          <cell r="J208">
            <v>5.2647299777857899E-4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1.8035515735151193</v>
          </cell>
          <cell r="F209">
            <v>1.9404481597247367E-3</v>
          </cell>
          <cell r="G209">
            <v>4.2534720473509013E-3</v>
          </cell>
          <cell r="H209">
            <v>2.3431084696829431E-3</v>
          </cell>
          <cell r="I209">
            <v>0.14856582761903953</v>
          </cell>
          <cell r="J209">
            <v>1.1020274229678341E-3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207.80006047875099</v>
          </cell>
          <cell r="F210">
            <v>0.26854388475544899</v>
          </cell>
          <cell r="G210">
            <v>0.64062006856156695</v>
          </cell>
          <cell r="H210">
            <v>0.273253944863658</v>
          </cell>
          <cell r="I210">
            <v>15.9244936335913</v>
          </cell>
          <cell r="J210">
            <v>0.130328697706765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3.6843982354388429</v>
          </cell>
          <cell r="F211">
            <v>4.7614163963731965E-3</v>
          </cell>
          <cell r="G211">
            <v>1.1358511853928494E-2</v>
          </cell>
          <cell r="H211">
            <v>4.8449281004194749E-3</v>
          </cell>
          <cell r="I211">
            <v>0.2823491779005548</v>
          </cell>
          <cell r="J211">
            <v>2.3107925125312981E-3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6.5508007428299404E-7</v>
          </cell>
          <cell r="G212">
            <v>5.1636172346788897E-5</v>
          </cell>
          <cell r="H212">
            <v>1.15504636659898E-5</v>
          </cell>
          <cell r="I212">
            <v>1.68587875463552E-6</v>
          </cell>
          <cell r="J212">
            <v>1.5073677103935501E-6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4.7946760500070094E-2</v>
          </cell>
          <cell r="F213">
            <v>3.4439462943097743E-4</v>
          </cell>
          <cell r="G213">
            <v>3.9512934978215564E-4</v>
          </cell>
          <cell r="H213">
            <v>3.6951635566855739E-4</v>
          </cell>
          <cell r="I213">
            <v>9.9276291558587169E-3</v>
          </cell>
          <cell r="J213">
            <v>1.7911114296436954E-4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12.841922732957119</v>
          </cell>
          <cell r="F214">
            <v>16.032974311309339</v>
          </cell>
          <cell r="G214">
            <v>49.512762352740616</v>
          </cell>
          <cell r="H214">
            <v>43.522675959722172</v>
          </cell>
          <cell r="I214">
            <v>13.023835888371279</v>
          </cell>
          <cell r="J214">
            <v>13.179049161452902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12.841922732957119</v>
          </cell>
          <cell r="F215">
            <v>16.032974311309339</v>
          </cell>
          <cell r="G215">
            <v>49.512762352740616</v>
          </cell>
          <cell r="H215">
            <v>43.522675959722172</v>
          </cell>
          <cell r="I215">
            <v>13.023835888371279</v>
          </cell>
          <cell r="J215">
            <v>13.179049161452902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16.052403475680226</v>
          </cell>
          <cell r="F216">
            <v>20.0412177655768</v>
          </cell>
          <cell r="G216">
            <v>61.890953598528419</v>
          </cell>
          <cell r="H216">
            <v>54.403344533247342</v>
          </cell>
          <cell r="I216">
            <v>16.279793386473699</v>
          </cell>
          <cell r="J216">
            <v>16.473810368805303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16.052403475680226</v>
          </cell>
          <cell r="F217">
            <v>20.0412177655768</v>
          </cell>
          <cell r="G217">
            <v>61.890953598528419</v>
          </cell>
          <cell r="H217">
            <v>54.403344533247342</v>
          </cell>
          <cell r="I217">
            <v>16.279793386473699</v>
          </cell>
          <cell r="J217">
            <v>16.473810368805303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9.7042330736678533E-5</v>
          </cell>
          <cell r="F219">
            <v>4.0218182042226186E-4</v>
          </cell>
          <cell r="G219">
            <v>2.3868175833205202E-3</v>
          </cell>
          <cell r="H219">
            <v>5.6970300805515807E-4</v>
          </cell>
          <cell r="I219">
            <v>1.0879434477651467E-2</v>
          </cell>
          <cell r="J219">
            <v>2.1667985954381837E-3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9.7042330736678777E-5</v>
          </cell>
          <cell r="F220">
            <v>4.0191387783703792E-4</v>
          </cell>
          <cell r="G220">
            <v>2.3843339021724268E-3</v>
          </cell>
          <cell r="H220">
            <v>5.6970300805515807E-4</v>
          </cell>
          <cell r="I220">
            <v>1.0879434477651507E-2</v>
          </cell>
          <cell r="J220">
            <v>2.1667985954381855E-3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7.6093028079474514E-5</v>
          </cell>
          <cell r="F221">
            <v>5.3105040578545291E-4</v>
          </cell>
          <cell r="G221">
            <v>3.0811922150622215E-3</v>
          </cell>
          <cell r="H221">
            <v>7.1356279550163749E-4</v>
          </cell>
          <cell r="I221">
            <v>1.280080541609596E-2</v>
          </cell>
          <cell r="J221">
            <v>2.4089815863454862E-3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7.6093028079474514E-5</v>
          </cell>
          <cell r="F222">
            <v>5.3105040578545291E-4</v>
          </cell>
          <cell r="G222">
            <v>3.0811922150622215E-3</v>
          </cell>
          <cell r="H222">
            <v>7.1356279550163749E-4</v>
          </cell>
          <cell r="I222">
            <v>1.280080541609596E-2</v>
          </cell>
          <cell r="J222">
            <v>2.4089815863454862E-3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2.6363724756182602E-3</v>
          </cell>
          <cell r="F223">
            <v>8.9257956757261405E-5</v>
          </cell>
          <cell r="G223">
            <v>6.2225355245538994E-5</v>
          </cell>
          <cell r="H223">
            <v>3.0277999210661801E-5</v>
          </cell>
          <cell r="I223">
            <v>2.3457464269772201E-4</v>
          </cell>
          <cell r="J223">
            <v>3.4400593654809698E-4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2.6363724756182602E-3</v>
          </cell>
          <cell r="F224">
            <v>2.7209851345746292E-3</v>
          </cell>
          <cell r="G224">
            <v>2.7676737471585919E-3</v>
          </cell>
          <cell r="H224">
            <v>2.7508733618382725E-3</v>
          </cell>
          <cell r="I224">
            <v>2.6265478858976845E-3</v>
          </cell>
          <cell r="J224">
            <v>1.5064952336537717E-3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4.7080953903739364E-4</v>
          </cell>
          <cell r="I225">
            <v>1.6689896875290813E-3</v>
          </cell>
          <cell r="J225">
            <v>4.8649432178524741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2.3540476951869693E-4</v>
          </cell>
          <cell r="I226">
            <v>7.5027976778830295E-4</v>
          </cell>
          <cell r="J226">
            <v>1.9630472633439842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5.1064726926363498E-2</v>
          </cell>
          <cell r="I227">
            <v>0.17271746491126599</v>
          </cell>
          <cell r="J227">
            <v>481.37332892435001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9.0540295968729527E-4</v>
          </cell>
          <cell r="I228">
            <v>3.0623663991359278E-3</v>
          </cell>
          <cell r="J228">
            <v>8.5349881014955713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9.8693684893964999E-5</v>
          </cell>
          <cell r="I229">
            <v>3.2405169700414598E-6</v>
          </cell>
          <cell r="J229">
            <v>0.192645329829919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9.8693684893964999E-5</v>
          </cell>
          <cell r="I230">
            <v>2.1922099564119273E-4</v>
          </cell>
          <cell r="J230">
            <v>0.19271050322366803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1.6438182642438271E-3</v>
          </cell>
          <cell r="F231">
            <v>8.5762519133971923E-4</v>
          </cell>
          <cell r="G231">
            <v>1.390480642369156E-2</v>
          </cell>
          <cell r="H231">
            <v>4.4420258661447129E-3</v>
          </cell>
          <cell r="I231">
            <v>1.2949542664547524E-2</v>
          </cell>
          <cell r="J231">
            <v>0.36942300199389033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1.6438182642438243E-3</v>
          </cell>
          <cell r="F232">
            <v>8.5692476751952299E-4</v>
          </cell>
          <cell r="G232">
            <v>1.3887070701212376E-2</v>
          </cell>
          <cell r="H232">
            <v>4.4420258661447198E-3</v>
          </cell>
          <cell r="I232">
            <v>1.2949542664547536E-2</v>
          </cell>
          <cell r="J232">
            <v>0.36942300199389044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2.0351156302295839E-3</v>
          </cell>
          <cell r="F233">
            <v>1.0436767182777308E-3</v>
          </cell>
          <cell r="G233">
            <v>1.65590051196365E-2</v>
          </cell>
          <cell r="H233">
            <v>5.1086320404685895E-3</v>
          </cell>
          <cell r="I233">
            <v>1.3925674647861893E-2</v>
          </cell>
          <cell r="J233">
            <v>0.37315590630263412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2.0351156302295839E-3</v>
          </cell>
          <cell r="F234">
            <v>1.0436767182777308E-3</v>
          </cell>
          <cell r="G234">
            <v>1.65590051196365E-2</v>
          </cell>
          <cell r="H234">
            <v>5.1086320404685895E-3</v>
          </cell>
          <cell r="I234">
            <v>1.3925674647861893E-2</v>
          </cell>
          <cell r="J234">
            <v>0.37315590630263412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3.0282591123921001E-3</v>
          </cell>
          <cell r="F235">
            <v>3.8633118624348999E-5</v>
          </cell>
          <cell r="G235">
            <v>5.2383297240583997E-5</v>
          </cell>
          <cell r="H235">
            <v>2.2267663165601801E-5</v>
          </cell>
          <cell r="I235">
            <v>1.61818702568858E-4</v>
          </cell>
          <cell r="J235">
            <v>4.4959965620847801E-2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3.0382559091589553E-3</v>
          </cell>
          <cell r="F236">
            <v>3.0683131426060377E-3</v>
          </cell>
          <cell r="G236">
            <v>3.1062649694129797E-3</v>
          </cell>
          <cell r="H236">
            <v>3.0765714604428836E-3</v>
          </cell>
          <cell r="I236">
            <v>5.9115215452906584E-3</v>
          </cell>
          <cell r="J236">
            <v>4.7494052160072964E-2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27.129909623233399</v>
          </cell>
          <cell r="F237">
            <v>311.534054585121</v>
          </cell>
          <cell r="G237">
            <v>1.78021381217691</v>
          </cell>
          <cell r="H237">
            <v>0.84700618234587699</v>
          </cell>
          <cell r="I237">
            <v>0.98026003238989301</v>
          </cell>
          <cell r="J237">
            <v>5.6904537927072001E-3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0.36196483738742513</v>
          </cell>
          <cell r="F238">
            <v>4.1564596039781794</v>
          </cell>
          <cell r="G238">
            <v>2.3751454095801088E-2</v>
          </cell>
          <cell r="H238">
            <v>1.1300681031256204E-2</v>
          </cell>
          <cell r="I238">
            <v>1.3078542027929954E-2</v>
          </cell>
          <cell r="J238">
            <v>7.5921527581278774E-5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0.36811274929760407</v>
          </cell>
          <cell r="F239">
            <v>4.2270563715755953</v>
          </cell>
          <cell r="G239">
            <v>2.4154868550568559E-2</v>
          </cell>
          <cell r="H239">
            <v>1.1492621198722887E-2</v>
          </cell>
          <cell r="I239">
            <v>1.3300678865534512E-2</v>
          </cell>
          <cell r="J239">
            <v>7.7211041963462683E-5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66.745680037910205</v>
          </cell>
          <cell r="F240">
            <v>49.273433894817941</v>
          </cell>
          <cell r="G240">
            <v>67.848203422706547</v>
          </cell>
          <cell r="H240">
            <v>69.475244108895907</v>
          </cell>
          <cell r="I240">
            <v>71.400944551093616</v>
          </cell>
          <cell r="J240">
            <v>71.392569485022335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66.745680037910205</v>
          </cell>
          <cell r="F241">
            <v>49.273433894817941</v>
          </cell>
          <cell r="G241">
            <v>67.848203422706547</v>
          </cell>
          <cell r="H241">
            <v>69.475244108895907</v>
          </cell>
          <cell r="I241">
            <v>71.400944551093616</v>
          </cell>
          <cell r="J241">
            <v>71.392569485022335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7.8887358148728142E-5</v>
          </cell>
          <cell r="F243">
            <v>9.2659179586642115E-5</v>
          </cell>
          <cell r="G243">
            <v>4.4059419114201114E-5</v>
          </cell>
          <cell r="H243">
            <v>5.3196838076600939E-4</v>
          </cell>
          <cell r="I243">
            <v>3.0147600605956362E-3</v>
          </cell>
          <cell r="J243">
            <v>1.3664663855985253E-3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7.8887358148727911E-5</v>
          </cell>
          <cell r="F244">
            <v>9.2720952373033023E-5</v>
          </cell>
          <cell r="G244">
            <v>4.4105314342444976E-5</v>
          </cell>
          <cell r="H244">
            <v>5.3196838076600939E-4</v>
          </cell>
          <cell r="I244">
            <v>3.0147600605956275E-3</v>
          </cell>
          <cell r="J244">
            <v>1.3664663855985242E-3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6.1932411640253896E-5</v>
          </cell>
          <cell r="F245">
            <v>7.1030604299057994E-5</v>
          </cell>
          <cell r="G245">
            <v>3.519350864228034E-5</v>
          </cell>
          <cell r="H245">
            <v>6.6639211685441387E-4</v>
          </cell>
          <cell r="I245">
            <v>3.5482467550777253E-3</v>
          </cell>
          <cell r="J245">
            <v>1.5197235754209342E-3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6.1932411640253896E-5</v>
          </cell>
          <cell r="F246">
            <v>7.1030604299057994E-5</v>
          </cell>
          <cell r="G246">
            <v>3.519350864228034E-5</v>
          </cell>
          <cell r="H246">
            <v>6.6639211685441387E-4</v>
          </cell>
          <cell r="I246">
            <v>3.5482467550777253E-3</v>
          </cell>
          <cell r="J246">
            <v>1.5197235754209342E-3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1.91832826636472E-3</v>
          </cell>
          <cell r="F247">
            <v>4.8501789935901103E-5</v>
          </cell>
          <cell r="G247">
            <v>7.4553406164732601E-5</v>
          </cell>
          <cell r="H247">
            <v>5.93430431475032E-5</v>
          </cell>
          <cell r="I247">
            <v>1.5726959533796101E-4</v>
          </cell>
          <cell r="J247">
            <v>3.7032545735527102E-4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1.91832826636472E-3</v>
          </cell>
          <cell r="F248">
            <v>1.9612092234908615E-3</v>
          </cell>
          <cell r="G248">
            <v>2.0205496381662776E-3</v>
          </cell>
          <cell r="H248">
            <v>2.0555664888947753E-3</v>
          </cell>
          <cell r="I248">
            <v>2.626515927727504E-3</v>
          </cell>
          <cell r="J248">
            <v>1.5028335970200223E-3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5.5609904468263589E-3</v>
          </cell>
          <cell r="F249">
            <v>2.2983765069989077E-3</v>
          </cell>
          <cell r="G249">
            <v>2.5056187996048518E-3</v>
          </cell>
          <cell r="H249">
            <v>1.275999129168814E-3</v>
          </cell>
          <cell r="I249">
            <v>1.5731332923825945E-3</v>
          </cell>
          <cell r="J249">
            <v>8.4744715672552891E-4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55.824638533004112</v>
          </cell>
          <cell r="F250">
            <v>57.507615684119422</v>
          </cell>
          <cell r="G250">
            <v>57.938932221789244</v>
          </cell>
          <cell r="H250">
            <v>49.907344112346784</v>
          </cell>
          <cell r="I250">
            <v>41.859584906548015</v>
          </cell>
          <cell r="J250">
            <v>26.019940503574631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5.2350838182142478E-3</v>
          </cell>
          <cell r="F251">
            <v>1.4146898610413381E-3</v>
          </cell>
          <cell r="G251">
            <v>2.2581107280578465E-3</v>
          </cell>
          <cell r="H251">
            <v>1.2073696190161255E-3</v>
          </cell>
          <cell r="I251">
            <v>1.1959015354783863E-3</v>
          </cell>
          <cell r="J251">
            <v>6.38754677903679E-4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25.757235245767749</v>
          </cell>
          <cell r="F252">
            <v>57.506241364836619</v>
          </cell>
          <cell r="G252">
            <v>57.848779183900881</v>
          </cell>
          <cell r="H252">
            <v>22.866576835591058</v>
          </cell>
          <cell r="I252">
            <v>19.013760622941088</v>
          </cell>
          <cell r="J252">
            <v>11.742780025699357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30.078191128425722</v>
          </cell>
          <cell r="F253">
            <v>5.0823449976319084E-3</v>
          </cell>
          <cell r="G253">
            <v>9.4911397733834016E-2</v>
          </cell>
          <cell r="H253">
            <v>27.043244265955696</v>
          </cell>
          <cell r="I253">
            <v>22.848593318434787</v>
          </cell>
          <cell r="J253">
            <v>14.278636608529821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3.2865401466409699E-7</v>
          </cell>
          <cell r="F254">
            <v>3.5403640025384998E-7</v>
          </cell>
          <cell r="G254">
            <v>3.73954151299463E-7</v>
          </cell>
          <cell r="H254">
            <v>4.4468212537169999E-7</v>
          </cell>
          <cell r="I254">
            <v>6.4741430893775405E-7</v>
          </cell>
          <cell r="J254">
            <v>1.2402408026782199E-6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4.4927374700198444</v>
          </cell>
          <cell r="G255">
            <v>4.4927380458526249</v>
          </cell>
          <cell r="H255">
            <v>4.4927386644661418</v>
          </cell>
          <cell r="I255">
            <v>4.4927396701092253</v>
          </cell>
          <cell r="J255">
            <v>4.4927409235341997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12.779576813708168</v>
          </cell>
          <cell r="I256">
            <v>9.7256892242814352</v>
          </cell>
          <cell r="J256">
            <v>7.1255307252463407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12.779576813708168</v>
          </cell>
          <cell r="I257">
            <v>9.7256892242814352</v>
          </cell>
          <cell r="J257">
            <v>7.1255307252463407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0.47354817119074699</v>
          </cell>
          <cell r="I258">
            <v>0.35512261557584601</v>
          </cell>
          <cell r="J258">
            <v>0.12941960902125799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0.47354817119074699</v>
          </cell>
          <cell r="I259">
            <v>0.37649068847679401</v>
          </cell>
          <cell r="J259">
            <v>0.251056650055409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4.6111072577981345</v>
          </cell>
          <cell r="I260">
            <v>4.6111090293690165</v>
          </cell>
          <cell r="J260">
            <v>4.6110991316882535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4.6111072577981345</v>
          </cell>
          <cell r="I261">
            <v>4.6111090293690165</v>
          </cell>
          <cell r="J261">
            <v>4.6110991316882535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4.6111072577981398</v>
          </cell>
          <cell r="I262">
            <v>4.61110902936902</v>
          </cell>
          <cell r="J262">
            <v>4.6110991316882499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1.3292477450873299</v>
          </cell>
          <cell r="I263">
            <v>4.5358071708035502E-7</v>
          </cell>
          <cell r="J263">
            <v>6.2839643449672603E-7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1.3292477450873299</v>
          </cell>
          <cell r="I264">
            <v>1.3292484342469399</v>
          </cell>
          <cell r="J264">
            <v>1.3292490626433799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6.5070006277525021</v>
          </cell>
          <cell r="F265">
            <v>7.3204333530632599</v>
          </cell>
          <cell r="G265">
            <v>7.4118141401359061</v>
          </cell>
          <cell r="H265">
            <v>7.488393310104744</v>
          </cell>
          <cell r="I265">
            <v>7.6644343538793649</v>
          </cell>
          <cell r="J265">
            <v>4.6534311147955494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1689.29335939169</v>
          </cell>
          <cell r="F266">
            <v>1900.4699951090299</v>
          </cell>
          <cell r="G266">
            <v>1924.1935146856799</v>
          </cell>
          <cell r="H266">
            <v>1944.07436159145</v>
          </cell>
          <cell r="I266">
            <v>1989.77667257026</v>
          </cell>
          <cell r="J266">
            <v>1208.08506565735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18.203592234824285</v>
          </cell>
          <cell r="F267">
            <v>20.479202533502445</v>
          </cell>
          <cell r="G267">
            <v>20.734843908250912</v>
          </cell>
          <cell r="H267">
            <v>20.94907717232168</v>
          </cell>
          <cell r="I267">
            <v>21.441558971662296</v>
          </cell>
          <cell r="J267">
            <v>13.018158035100774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4.9019989639214695E-7</v>
          </cell>
          <cell r="G268">
            <v>3.36385155902725E-3</v>
          </cell>
          <cell r="H268">
            <v>6.8833385922785401E-2</v>
          </cell>
          <cell r="I268">
            <v>3.6755723462353597E-2</v>
          </cell>
          <cell r="J268">
            <v>7.5894703484756797E-8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0.27314367264409611</v>
          </cell>
          <cell r="F269">
            <v>0.27313977799607519</v>
          </cell>
          <cell r="G269">
            <v>0.27650256893446723</v>
          </cell>
          <cell r="H269">
            <v>0.27935960996871589</v>
          </cell>
          <cell r="I269">
            <v>0.30292051521480207</v>
          </cell>
          <cell r="J269">
            <v>0.19163442595018321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0.43672772752918304</v>
          </cell>
          <cell r="F270">
            <v>0.55206570967543545</v>
          </cell>
          <cell r="G270">
            <v>3.2870546243717591</v>
          </cell>
          <cell r="H270">
            <v>3.2870587088070895</v>
          </cell>
          <cell r="I270">
            <v>7.6944180880994013</v>
          </cell>
          <cell r="J270">
            <v>7.6944478255217961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0.43672772752918304</v>
          </cell>
          <cell r="F271">
            <v>0.55206570967543545</v>
          </cell>
          <cell r="G271">
            <v>3.2870546243717591</v>
          </cell>
          <cell r="H271">
            <v>3.2870587088070895</v>
          </cell>
          <cell r="I271">
            <v>7.6944180880994013</v>
          </cell>
          <cell r="J271">
            <v>7.6944478255217961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3.9498139931303915</v>
          </cell>
          <cell r="F272">
            <v>2.2862777612874861</v>
          </cell>
          <cell r="G272">
            <v>1.8410905335259344</v>
          </cell>
          <cell r="H272">
            <v>7.4635321805415753</v>
          </cell>
          <cell r="I272">
            <v>10.913955337640182</v>
          </cell>
          <cell r="J272">
            <v>14.661857613923194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3.9498139931303915</v>
          </cell>
          <cell r="F273">
            <v>2.2862777612874861</v>
          </cell>
          <cell r="G273">
            <v>1.8410905335259344</v>
          </cell>
          <cell r="H273">
            <v>7.4635321805415753</v>
          </cell>
          <cell r="I273">
            <v>10.913955337640182</v>
          </cell>
          <cell r="J273">
            <v>14.661857613923194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1.6377257371452567</v>
          </cell>
          <cell r="F274">
            <v>1.478048228769828</v>
          </cell>
          <cell r="G274">
            <v>1.2672449252197404</v>
          </cell>
          <cell r="H274">
            <v>5.1312068308121681</v>
          </cell>
          <cell r="I274">
            <v>3.0722789883699986</v>
          </cell>
          <cell r="J274">
            <v>1.8394876117824277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2.3396081959217958</v>
          </cell>
          <cell r="F275">
            <v>2.1114974696711823</v>
          </cell>
          <cell r="G275">
            <v>1.8103498931710582</v>
          </cell>
          <cell r="H275">
            <v>7.3302954725888156</v>
          </cell>
          <cell r="I275">
            <v>4.3889699833857083</v>
          </cell>
          <cell r="J275">
            <v>2.627839445403465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0.20773752818462299</v>
          </cell>
          <cell r="F276">
            <v>3.4145616103010001E-6</v>
          </cell>
          <cell r="G276">
            <v>6.3741754028022302E-6</v>
          </cell>
          <cell r="H276">
            <v>0.443096299445224</v>
          </cell>
          <cell r="I276">
            <v>1.0790149402170501E-5</v>
          </cell>
          <cell r="J276">
            <v>0.11973296712718701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0.20773752818462299</v>
          </cell>
          <cell r="F277">
            <v>0.207740942746233</v>
          </cell>
          <cell r="G277">
            <v>0.207747316921636</v>
          </cell>
          <cell r="H277">
            <v>0.65084361636685995</v>
          </cell>
          <cell r="I277">
            <v>0.51581330036749296</v>
          </cell>
          <cell r="J277">
            <v>0.23496934036664999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2.1390204760554171E-2</v>
          </cell>
          <cell r="J278">
            <v>1.834314700057E-2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1.9747556438498099</v>
          </cell>
          <cell r="J279">
            <v>1.6660831369437401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3.5013397940599461E-2</v>
          </cell>
          <cell r="J280">
            <v>2.9540481151484822E-2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1.74019683607947E-3</v>
          </cell>
          <cell r="J281">
            <v>1.7681895233889755E-3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1.74019683607947E-3</v>
          </cell>
          <cell r="J282">
            <v>2.9263748924635501E-5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1.74019683607947E-3</v>
          </cell>
          <cell r="J283">
            <v>1.7681895233889722E-3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1522.67381441783</v>
          </cell>
          <cell r="F284">
            <v>1524.51610823376</v>
          </cell>
          <cell r="G284">
            <v>1213.86016442851</v>
          </cell>
          <cell r="H284">
            <v>769.13981898190696</v>
          </cell>
          <cell r="I284">
            <v>297.196945143579</v>
          </cell>
          <cell r="J284">
            <v>188.08933159359901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27.217513575673827</v>
          </cell>
          <cell r="F285">
            <v>28.488673789826645</v>
          </cell>
          <cell r="G285">
            <v>22.462423181360307</v>
          </cell>
          <cell r="H285">
            <v>15.281110133187958</v>
          </cell>
          <cell r="I285">
            <v>5.2528006102363136</v>
          </cell>
          <cell r="J285">
            <v>3.3323303281517833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26.997762666982748</v>
          </cell>
          <cell r="F286">
            <v>27.030427450953155</v>
          </cell>
          <cell r="G286">
            <v>21.522343340931066</v>
          </cell>
          <cell r="H286">
            <v>13.637230833012525</v>
          </cell>
          <cell r="I286">
            <v>5.2694493819783501</v>
          </cell>
          <cell r="J286">
            <v>3.3349172268368683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0.3067005106982631</v>
          </cell>
          <cell r="F287">
            <v>1.5492568142003889</v>
          </cell>
          <cell r="G287">
            <v>0.998868600709238</v>
          </cell>
          <cell r="H287">
            <v>1.2329747845071366</v>
          </cell>
          <cell r="I287">
            <v>3.7148899307442223E-4</v>
          </cell>
          <cell r="J287">
            <v>3.1099276473499257E-4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1.2970136810543318E-2</v>
          </cell>
          <cell r="H288">
            <v>0.45981400473513701</v>
          </cell>
          <cell r="I288">
            <v>1.5077275981114808E-4</v>
          </cell>
          <cell r="J288">
            <v>8.0046369281763664E-3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9.8040416544142607E-7</v>
          </cell>
          <cell r="F289">
            <v>2.24315929685411E-7</v>
          </cell>
          <cell r="G289">
            <v>3.4304968638403703E-7</v>
          </cell>
          <cell r="H289">
            <v>3.4417846444983499E-7</v>
          </cell>
          <cell r="I289">
            <v>8.1589412385096102E-7</v>
          </cell>
          <cell r="J289">
            <v>1.3731118176450601E-6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2.2350531820293056</v>
          </cell>
          <cell r="F290">
            <v>2.2350534063452354</v>
          </cell>
          <cell r="G290">
            <v>2.2350537493949219</v>
          </cell>
          <cell r="H290">
            <v>2.2350540935733862</v>
          </cell>
          <cell r="I290">
            <v>2.2350555267042234</v>
          </cell>
          <cell r="J290">
            <v>1.120895200679761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6.3614291382539569E-4</v>
          </cell>
          <cell r="I291">
            <v>6.7199452093379825E-4</v>
          </cell>
          <cell r="J291">
            <v>3.6357415438539181E-4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1.717310940477034E-3</v>
          </cell>
          <cell r="I292">
            <v>1.7391321909626218E-3</v>
          </cell>
          <cell r="J292">
            <v>9.0359681132064727E-4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2.8818169272297016E-3</v>
          </cell>
          <cell r="I293">
            <v>3.5620089567874316E-3</v>
          </cell>
          <cell r="J293">
            <v>1.5397883638934118E-3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5.6594846781025101E-5</v>
          </cell>
          <cell r="I294">
            <v>5.8921748017503099E-6</v>
          </cell>
          <cell r="J294">
            <v>2.1664422824859101E-5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5.6594846781025101E-5</v>
          </cell>
          <cell r="I295">
            <v>5.9975699609786682E-5</v>
          </cell>
          <cell r="J295">
            <v>3.2454982605962374E-5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12.876155072638941</v>
          </cell>
          <cell r="F296">
            <v>14.832000678065974</v>
          </cell>
          <cell r="G296">
            <v>14.982525815057127</v>
          </cell>
          <cell r="H296">
            <v>15.339472774575917</v>
          </cell>
          <cell r="I296">
            <v>17.80376104794739</v>
          </cell>
          <cell r="J296">
            <v>18.32040800496554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46.303024943024042</v>
          </cell>
          <cell r="F297">
            <v>5.2307742806749656E-3</v>
          </cell>
          <cell r="G297">
            <v>0.28548600597576906</v>
          </cell>
          <cell r="H297">
            <v>15.103609752420388</v>
          </cell>
          <cell r="I297">
            <v>0.29680356596879276</v>
          </cell>
          <cell r="J297">
            <v>0.7512881269577627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22.256907326053195</v>
          </cell>
          <cell r="F298">
            <v>19.068438615159387</v>
          </cell>
          <cell r="G298">
            <v>18.222424845733023</v>
          </cell>
          <cell r="H298">
            <v>18.33493627219999</v>
          </cell>
          <cell r="I298">
            <v>20.974677681270911</v>
          </cell>
          <cell r="J298">
            <v>22.349252669351745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11.75569766154851</v>
          </cell>
          <cell r="F299">
            <v>14.856408239793426</v>
          </cell>
          <cell r="G299">
            <v>14.516567085688138</v>
          </cell>
          <cell r="H299">
            <v>14.444523649267987</v>
          </cell>
          <cell r="I299">
            <v>16.553796492306759</v>
          </cell>
          <cell r="J299">
            <v>16.946080533058559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23.267454238698747</v>
          </cell>
          <cell r="F300">
            <v>17.712473675614696</v>
          </cell>
          <cell r="G300">
            <v>16.295109305191378</v>
          </cell>
          <cell r="H300">
            <v>17.538395448532967</v>
          </cell>
          <cell r="I300">
            <v>20.762278737008955</v>
          </cell>
          <cell r="J300">
            <v>20.214176155971565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116.45921609785725</v>
          </cell>
          <cell r="F301">
            <v>66.474551982914221</v>
          </cell>
          <cell r="G301">
            <v>64.302113057645414</v>
          </cell>
          <cell r="H301">
            <v>80.760937896997248</v>
          </cell>
          <cell r="I301">
            <v>76.391317524502739</v>
          </cell>
          <cell r="J301">
            <v>78.58120549030518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6.15476405300032E-8</v>
          </cell>
          <cell r="F302">
            <v>5.80109273734481E-8</v>
          </cell>
          <cell r="G302">
            <v>5.5909919088203797E-8</v>
          </cell>
          <cell r="H302">
            <v>8.3989449056945601E-8</v>
          </cell>
          <cell r="I302">
            <v>1.06624333275998E-7</v>
          </cell>
          <cell r="J302">
            <v>1.9156032759773299E-7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4.3300925342941552</v>
          </cell>
          <cell r="G303">
            <v>4.3300926338412973</v>
          </cell>
          <cell r="H303">
            <v>4.3300927359613164</v>
          </cell>
          <cell r="I303">
            <v>4.3300929163870583</v>
          </cell>
          <cell r="J303">
            <v>4.330093113420693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94.121672545737596</v>
          </cell>
          <cell r="F304">
            <v>98.073481584001101</v>
          </cell>
          <cell r="G304">
            <v>0.57097112347489998</v>
          </cell>
          <cell r="H304">
            <v>9.69936186129743E-2</v>
          </cell>
          <cell r="I304">
            <v>1.29145940793298</v>
          </cell>
          <cell r="J304">
            <v>6.9638559211543605E-2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0.59440313009575585</v>
          </cell>
          <cell r="F305">
            <v>0.62593126979329428</v>
          </cell>
          <cell r="G305">
            <v>2.2671888826165977E-3</v>
          </cell>
          <cell r="H305">
            <v>5.4606834145031022E-4</v>
          </cell>
          <cell r="I305">
            <v>7.8158006882648959E-3</v>
          </cell>
          <cell r="J305">
            <v>3.6902697435041817E-4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0.69258238227648128</v>
          </cell>
          <cell r="F306">
            <v>0.75027599333797712</v>
          </cell>
          <cell r="G306">
            <v>2.8314460102245691E-3</v>
          </cell>
          <cell r="H306">
            <v>7.2768325578505895E-4</v>
          </cell>
          <cell r="I306">
            <v>1.172370103239734E-2</v>
          </cell>
          <cell r="J306">
            <v>5.5354046152562722E-4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1.6688239813074031</v>
          </cell>
          <cell r="F307">
            <v>1.7388915174468287</v>
          </cell>
          <cell r="G307">
            <v>1.0123601480051422E-2</v>
          </cell>
          <cell r="H307">
            <v>1.7197450108683396E-3</v>
          </cell>
          <cell r="I307">
            <v>2.2898216452712509E-2</v>
          </cell>
          <cell r="J307">
            <v>1.2347262271550285E-3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2.7171208525801498E-2</v>
          </cell>
          <cell r="G308">
            <v>2.1018981100765599E-7</v>
          </cell>
          <cell r="H308">
            <v>6.4578942373529404E-7</v>
          </cell>
          <cell r="I308">
            <v>2.8065683161517899E-5</v>
          </cell>
          <cell r="J308">
            <v>1.0525745362759899E-7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6.5199760532029513E-2</v>
          </cell>
          <cell r="F309">
            <v>4.7876910186013907E-2</v>
          </cell>
          <cell r="G309">
            <v>3.6852771193539996E-4</v>
          </cell>
          <cell r="H309">
            <v>8.9082252831704234E-5</v>
          </cell>
          <cell r="I309">
            <v>4.5912213261839994E-4</v>
          </cell>
          <cell r="J309">
            <v>6.0112639931831019E-5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0.62578889809381122</v>
          </cell>
          <cell r="F310">
            <v>0.73757379721998095</v>
          </cell>
          <cell r="G310">
            <v>0.73660131621926284</v>
          </cell>
          <cell r="H310">
            <v>0.73479245023289197</v>
          </cell>
          <cell r="I310">
            <v>0.78207430788481613</v>
          </cell>
          <cell r="J310">
            <v>0.77773603519270351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0.62578889809381122</v>
          </cell>
          <cell r="F311">
            <v>0.73757379721998095</v>
          </cell>
          <cell r="G311">
            <v>0.73660131621926284</v>
          </cell>
          <cell r="H311">
            <v>0.73479245023289197</v>
          </cell>
          <cell r="I311">
            <v>0.78207430788481613</v>
          </cell>
          <cell r="J311">
            <v>0.77773603519270351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6.8539583169072594E-4</v>
          </cell>
          <cell r="F312">
            <v>1.1947284022250401E-3</v>
          </cell>
          <cell r="G312">
            <v>4.7706535123723803E-3</v>
          </cell>
          <cell r="H312">
            <v>5.4104241959281876E-4</v>
          </cell>
          <cell r="I312">
            <v>3.5967898405604363E-3</v>
          </cell>
          <cell r="J312">
            <v>2.3709023373821764E-2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6.8539583169072388E-4</v>
          </cell>
          <cell r="F313">
            <v>1.1955248878265216E-3</v>
          </cell>
          <cell r="G313">
            <v>4.7756229431144305E-3</v>
          </cell>
          <cell r="H313">
            <v>5.4104241959281876E-4</v>
          </cell>
          <cell r="I313">
            <v>3.5967898405604233E-3</v>
          </cell>
          <cell r="J313">
            <v>2.3709023373821747E-2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9.128188875389909E-4</v>
          </cell>
          <cell r="F314">
            <v>1.5728089742764067E-3</v>
          </cell>
          <cell r="G314">
            <v>6.1635245004365864E-3</v>
          </cell>
          <cell r="H314">
            <v>6.7541170965839086E-4</v>
          </cell>
          <cell r="I314">
            <v>4.2326121975401598E-3</v>
          </cell>
          <cell r="J314">
            <v>2.6343359297669764E-2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9.128188875389909E-4</v>
          </cell>
          <cell r="F315">
            <v>1.5728089742764067E-3</v>
          </cell>
          <cell r="G315">
            <v>6.1635245004365864E-3</v>
          </cell>
          <cell r="H315">
            <v>6.7541170965839086E-4</v>
          </cell>
          <cell r="I315">
            <v>4.2326121975401598E-3</v>
          </cell>
          <cell r="J315">
            <v>2.6343359297669764E-2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2.0691989417310699E-4</v>
          </cell>
          <cell r="F316">
            <v>5.6609771790137304E-6</v>
          </cell>
          <cell r="G316">
            <v>3.9127590251842601E-6</v>
          </cell>
          <cell r="H316">
            <v>3.6281323614588399E-6</v>
          </cell>
          <cell r="I316">
            <v>1.2565244431843E-4</v>
          </cell>
          <cell r="J316">
            <v>4.5928536355893002E-2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3.7182708711802073E-4</v>
          </cell>
          <cell r="F317">
            <v>3.7511212278264948E-4</v>
          </cell>
          <cell r="G317">
            <v>3.7530304402491523E-4</v>
          </cell>
          <cell r="H317">
            <v>2.709457099534255E-4</v>
          </cell>
          <cell r="I317">
            <v>2.650115125289243E-4</v>
          </cell>
          <cell r="J317">
            <v>4.6109733895638973E-2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0.92935573183827624</v>
          </cell>
          <cell r="F318">
            <v>2.0692898139972873</v>
          </cell>
          <cell r="G318">
            <v>3.6429513835435606E-2</v>
          </cell>
          <cell r="H318">
            <v>1.3159106863708703</v>
          </cell>
          <cell r="I318">
            <v>5.1878943139784328E-3</v>
          </cell>
          <cell r="J318">
            <v>1.8002662506254305E-2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7.0502848622213926E-2</v>
          </cell>
          <cell r="F319">
            <v>0.17122358423666084</v>
          </cell>
          <cell r="G319">
            <v>3.4892353440908355E-3</v>
          </cell>
          <cell r="H319">
            <v>0.17091371583155654</v>
          </cell>
          <cell r="I319">
            <v>2.3403471796464696E-3</v>
          </cell>
          <cell r="J319">
            <v>8.1213066174298104E-3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21.919056458980901</v>
          </cell>
          <cell r="F320">
            <v>51.185847825222801</v>
          </cell>
          <cell r="G320">
            <v>1.0770355685892801</v>
          </cell>
          <cell r="H320">
            <v>47.878270890832603</v>
          </cell>
          <cell r="I320">
            <v>0.67701706631373304</v>
          </cell>
          <cell r="J320">
            <v>2.2901113632754799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0.29740917854790827</v>
          </cell>
          <cell r="F321">
            <v>0.69451625271672734</v>
          </cell>
          <cell r="G321">
            <v>1.4613779763762248E-2</v>
          </cell>
          <cell r="H321">
            <v>0.64963732552011699</v>
          </cell>
          <cell r="I321">
            <v>9.186120302764356E-3</v>
          </cell>
          <cell r="J321">
            <v>3.1073424196410848E-2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6.3456056261651699E-3</v>
          </cell>
          <cell r="G322">
            <v>1.20992813511815E-3</v>
          </cell>
          <cell r="H322">
            <v>1.07783485418304E-2</v>
          </cell>
          <cell r="I322">
            <v>3.8331825910894103E-6</v>
          </cell>
          <cell r="J322">
            <v>1.28326105448628E-4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8.3050622249010893E-3</v>
          </cell>
          <cell r="F323">
            <v>7.2780816691352963E-3</v>
          </cell>
          <cell r="G323">
            <v>8.4860404352390829E-3</v>
          </cell>
          <cell r="H323">
            <v>1.9263608009516462E-2</v>
          </cell>
          <cell r="I323">
            <v>5.5874847026168495E-3</v>
          </cell>
          <cell r="J323">
            <v>1.5452200812828992E-3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29.714400320865877</v>
          </cell>
          <cell r="F324">
            <v>29.714337264757493</v>
          </cell>
          <cell r="G324">
            <v>26.168830072908872</v>
          </cell>
          <cell r="H324">
            <v>28.976994336159549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89.580576321039842</v>
          </cell>
          <cell r="F325">
            <v>89.580386224572436</v>
          </cell>
          <cell r="G325">
            <v>78.891677242848132</v>
          </cell>
          <cell r="H325">
            <v>87.357504262399317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1.01</v>
          </cell>
          <cell r="G326">
            <v>1.01</v>
          </cell>
          <cell r="H326">
            <v>1.01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2652.47581767781</v>
          </cell>
          <cell r="F327">
            <v>2628.5390331857802</v>
          </cell>
          <cell r="G327">
            <v>2468.9258421428699</v>
          </cell>
          <cell r="H327">
            <v>1597.2073098615799</v>
          </cell>
          <cell r="I327">
            <v>913.01592543615595</v>
          </cell>
          <cell r="J327">
            <v>572.98742958728201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47.189829328321309</v>
          </cell>
          <cell r="F328">
            <v>48.283055167554849</v>
          </cell>
          <cell r="G328">
            <v>45.055857769921346</v>
          </cell>
          <cell r="H328">
            <v>31.170319753283504</v>
          </cell>
          <cell r="I328">
            <v>16.137196947506851</v>
          </cell>
          <cell r="J328">
            <v>10.150207603718286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47.029713079393694</v>
          </cell>
          <cell r="F329">
            <v>46.60530200684012</v>
          </cell>
          <cell r="G329">
            <v>43.775280889058081</v>
          </cell>
          <cell r="H329">
            <v>28.319278543644955</v>
          </cell>
          <cell r="I329">
            <v>16.188225628300636</v>
          </cell>
          <cell r="J329">
            <v>10.159351588426981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0.3108698020572076</v>
          </cell>
          <cell r="F330">
            <v>1.8319991545244689</v>
          </cell>
          <cell r="G330">
            <v>1.3980737544670683</v>
          </cell>
          <cell r="H330">
            <v>2.0126094042663301</v>
          </cell>
          <cell r="I330">
            <v>3.6456010064869445E-4</v>
          </cell>
          <cell r="J330">
            <v>3.0989874808781817E-4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2.6439452184988423E-2</v>
          </cell>
          <cell r="H331">
            <v>0.93800911942222831</v>
          </cell>
          <cell r="I331">
            <v>1.5896457049809315E-4</v>
          </cell>
          <cell r="J331">
            <v>2.2972168576957049E-2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3.9569678137343602E-7</v>
          </cell>
          <cell r="F332">
            <v>1.2298414021957801E-7</v>
          </cell>
          <cell r="G332">
            <v>1.9889986248376301E-7</v>
          </cell>
          <cell r="H332">
            <v>1.0554161636876901E-7</v>
          </cell>
          <cell r="I332">
            <v>2.18384076279798E-7</v>
          </cell>
          <cell r="J332">
            <v>3.8825956664360499E-7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3.0972404030927017</v>
          </cell>
          <cell r="F333">
            <v>3.0972405260768419</v>
          </cell>
          <cell r="G333">
            <v>3.0972407249767042</v>
          </cell>
          <cell r="H333">
            <v>3.0972408305183206</v>
          </cell>
          <cell r="I333">
            <v>3.0972412120024493</v>
          </cell>
          <cell r="J333">
            <v>1.553283840902316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1.8572682170169202E-2</v>
          </cell>
          <cell r="I334">
            <v>6.3990630510541005E-2</v>
          </cell>
          <cell r="J334">
            <v>5.3825982790444801E-2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1.3830720765019614E-4</v>
          </cell>
          <cell r="I335">
            <v>4.992176848340079E-4</v>
          </cell>
          <cell r="J335">
            <v>4.2946262864716615E-4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1.5490407256821972E-4</v>
          </cell>
          <cell r="I336">
            <v>5.2917074592404858E-4</v>
          </cell>
          <cell r="J336">
            <v>4.2946262864716615E-4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3.2930287535760949E-4</v>
          </cell>
          <cell r="I337">
            <v>1.1345856473500191E-3</v>
          </cell>
          <cell r="J337">
            <v>9.5436139699370281E-4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1.2490648754173699E-5</v>
          </cell>
          <cell r="I338">
            <v>3.8898062704112198E-6</v>
          </cell>
          <cell r="J338">
            <v>9.1419643725588696E-6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1.2490648754173699E-5</v>
          </cell>
          <cell r="I339">
            <v>4.3870555542650123E-5</v>
          </cell>
          <cell r="J339">
            <v>3.8152365237593902E-5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1.4372080460968601</v>
          </cell>
          <cell r="I340">
            <v>5.6561713776386767E-2</v>
          </cell>
          <cell r="J340">
            <v>1.9775004587590648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1.9227513049133649</v>
          </cell>
          <cell r="I341">
            <v>9.42695229606446E-2</v>
          </cell>
          <cell r="J341">
            <v>3.9550009175181295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3.8843460705320534</v>
          </cell>
          <cell r="I342">
            <v>0.17139913265571741</v>
          </cell>
          <cell r="J342">
            <v>6.5916681958635488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7.4288636520242105E-2</v>
          </cell>
          <cell r="I343">
            <v>3.0125105058424201E-7</v>
          </cell>
          <cell r="J343">
            <v>0.20629424461218801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7.4288636520242105E-2</v>
          </cell>
          <cell r="I344">
            <v>2.24194195234809E-2</v>
          </cell>
          <cell r="J344">
            <v>0.21573300918889007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5.7500351354098447</v>
          </cell>
          <cell r="F345">
            <v>13.65525343115293</v>
          </cell>
          <cell r="G345">
            <v>16.032053175902394</v>
          </cell>
          <cell r="H345">
            <v>20.800936498155831</v>
          </cell>
          <cell r="I345">
            <v>23.675851072288584</v>
          </cell>
          <cell r="J345">
            <v>22.584074595689788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5.3077247403783216</v>
          </cell>
          <cell r="F346">
            <v>13.650897575966205</v>
          </cell>
          <cell r="G346">
            <v>15.950240287990864</v>
          </cell>
          <cell r="H346">
            <v>14.622440508604601</v>
          </cell>
          <cell r="I346">
            <v>12.360186956856554</v>
          </cell>
          <cell r="J346">
            <v>10.362945621439932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0.44231039503152658</v>
          </cell>
          <cell r="F347">
            <v>4.3558551867237958E-3</v>
          </cell>
          <cell r="G347">
            <v>8.1812887911529464E-2</v>
          </cell>
          <cell r="H347">
            <v>6.1784959895512399</v>
          </cell>
          <cell r="I347">
            <v>11.315664115432037</v>
          </cell>
          <cell r="J347">
            <v>12.221128974249844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5.0713699418058798E-7</v>
          </cell>
          <cell r="F348">
            <v>2.9464628219201101E-7</v>
          </cell>
          <cell r="G348">
            <v>3.6205812845453999E-7</v>
          </cell>
          <cell r="H348">
            <v>1.2339665881896999E-6</v>
          </cell>
          <cell r="I348">
            <v>7.3610957082628405E-7</v>
          </cell>
          <cell r="J348">
            <v>1.9868107789475699E-6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0.86351897116290166</v>
          </cell>
          <cell r="G349">
            <v>0.86351960805709338</v>
          </cell>
          <cell r="H349">
            <v>0.8635206490304862</v>
          </cell>
          <cell r="I349">
            <v>0.86352222748185503</v>
          </cell>
          <cell r="J349">
            <v>0.86352407933119912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3.5869978254511096E-6</v>
          </cell>
          <cell r="F350">
            <v>1.4455034805708127E-4</v>
          </cell>
          <cell r="G350">
            <v>7.7756182452118177</v>
          </cell>
          <cell r="H350">
            <v>8.8602911675545322</v>
          </cell>
          <cell r="I350">
            <v>13.366714208841161</v>
          </cell>
          <cell r="J350">
            <v>99.603400030349206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3.5869978254511176E-6</v>
          </cell>
          <cell r="F351">
            <v>1.4466849904399924E-4</v>
          </cell>
          <cell r="G351">
            <v>7.7855487921405757</v>
          </cell>
          <cell r="H351">
            <v>8.8602911675545215</v>
          </cell>
          <cell r="I351">
            <v>13.366714208841142</v>
          </cell>
          <cell r="J351">
            <v>99.603400030349178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5.8559842899392287E-6</v>
          </cell>
          <cell r="F352">
            <v>1.7471685675144965E-4</v>
          </cell>
          <cell r="G352">
            <v>9.268505699387811</v>
          </cell>
          <cell r="H352">
            <v>10.184241135144777</v>
          </cell>
          <cell r="I352">
            <v>14.372809485656292</v>
          </cell>
          <cell r="J352">
            <v>100.60949577757562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5.8559842899392287E-6</v>
          </cell>
          <cell r="F353">
            <v>1.7471685675144965E-4</v>
          </cell>
          <cell r="G353">
            <v>9.268505699387811</v>
          </cell>
          <cell r="H353">
            <v>10.184241135144777</v>
          </cell>
          <cell r="I353">
            <v>14.372809485656292</v>
          </cell>
          <cell r="J353">
            <v>100.60949577757562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3.8087736103581699E-3</v>
          </cell>
          <cell r="F354">
            <v>5.3117306749055898E-5</v>
          </cell>
          <cell r="G354">
            <v>0.48531471668668003</v>
          </cell>
          <cell r="H354">
            <v>6.6349713772980101E-2</v>
          </cell>
          <cell r="I354">
            <v>0.59997903320812196</v>
          </cell>
          <cell r="J354">
            <v>5.71028665620093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3.8087736103581699E-3</v>
          </cell>
          <cell r="F355">
            <v>3.8571462305173614E-3</v>
          </cell>
          <cell r="G355">
            <v>0.48915491201272582</v>
          </cell>
          <cell r="H355">
            <v>0.55547222695037946</v>
          </cell>
          <cell r="I355">
            <v>0.83405253541728452</v>
          </cell>
          <cell r="J355">
            <v>6.1891955589174268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3.7003169525047874E-5</v>
          </cell>
          <cell r="F356">
            <v>2.8140522279864883E-5</v>
          </cell>
          <cell r="G356">
            <v>2.8743533472041531E-5</v>
          </cell>
          <cell r="H356">
            <v>6.6049134845554041E-3</v>
          </cell>
          <cell r="I356">
            <v>7.4743806705253176E-3</v>
          </cell>
          <cell r="J356">
            <v>6.094098836940446E-2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3.7003169525047928E-5</v>
          </cell>
          <cell r="F357">
            <v>2.8163523473043878E-5</v>
          </cell>
          <cell r="G357">
            <v>2.8780242965620112E-5</v>
          </cell>
          <cell r="H357">
            <v>6.6049134845553928E-3</v>
          </cell>
          <cell r="I357">
            <v>7.474380670525309E-3</v>
          </cell>
          <cell r="J357">
            <v>6.094098836940446E-2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3.7003169525047928E-5</v>
          </cell>
          <cell r="F358">
            <v>2.8163523473043878E-5</v>
          </cell>
          <cell r="G358">
            <v>2.8780242965620112E-5</v>
          </cell>
          <cell r="H358">
            <v>7.5900679112033418E-3</v>
          </cell>
          <cell r="I358">
            <v>8.0370877160723889E-3</v>
          </cell>
          <cell r="J358">
            <v>6.1556947519097245E-2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3.7003169525047928E-5</v>
          </cell>
          <cell r="F359">
            <v>2.8163523473043878E-5</v>
          </cell>
          <cell r="G359">
            <v>2.8780242965620112E-5</v>
          </cell>
          <cell r="H359">
            <v>7.5900679112033418E-3</v>
          </cell>
          <cell r="I359">
            <v>8.0370877160723889E-3</v>
          </cell>
          <cell r="J359">
            <v>6.1556947519097245E-2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1.52743135713768E-3</v>
          </cell>
          <cell r="F360">
            <v>4.7095326257381302E-5</v>
          </cell>
          <cell r="G360">
            <v>6.99754118475932E-5</v>
          </cell>
          <cell r="H360">
            <v>6.3813435585446897E-5</v>
          </cell>
          <cell r="I360">
            <v>1.3469959092987299E-4</v>
          </cell>
          <cell r="J360">
            <v>2.7858141999086501E-3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1.52743135713768E-3</v>
          </cell>
          <cell r="F361">
            <v>1.5698816694917253E-3</v>
          </cell>
          <cell r="G361">
            <v>1.6276066728275432E-3</v>
          </cell>
          <cell r="H361">
            <v>1.6650216446784435E-3</v>
          </cell>
          <cell r="I361">
            <v>2.3366862810910794E-3</v>
          </cell>
          <cell r="J361">
            <v>3.7893699695530627E-3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213.78054402665401</v>
          </cell>
          <cell r="F362">
            <v>8.3243604151583106E-2</v>
          </cell>
          <cell r="G362">
            <v>0.109172701597538</v>
          </cell>
          <cell r="H362">
            <v>0.18411915603684001</v>
          </cell>
          <cell r="I362">
            <v>2.7711024026771801E-2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2.7300020753577039</v>
          </cell>
          <cell r="F363">
            <v>1.0630303759810041E-3</v>
          </cell>
          <cell r="G363">
            <v>1.3941479253440729E-3</v>
          </cell>
          <cell r="H363">
            <v>2.351222747524737E-3</v>
          </cell>
          <cell r="I363">
            <v>3.5387295624966883E-4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2.7763707016448524</v>
          </cell>
          <cell r="F364">
            <v>1.081085768202379E-3</v>
          </cell>
          <cell r="G364">
            <v>1.4178272934745203E-3</v>
          </cell>
          <cell r="H364">
            <v>2.3911578706083091E-3</v>
          </cell>
          <cell r="I364">
            <v>3.5988342891911493E-4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0.26406510459874599</v>
          </cell>
          <cell r="G365">
            <v>0.68942755126532396</v>
          </cell>
          <cell r="H365">
            <v>0.15754553797264101</v>
          </cell>
          <cell r="I365">
            <v>138.56501528528301</v>
          </cell>
          <cell r="J365">
            <v>83.339453648060001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1.309864608729876E-3</v>
          </cell>
          <cell r="G366">
            <v>2.7293316483056325E-3</v>
          </cell>
          <cell r="H366">
            <v>7.5384150927102801E-4</v>
          </cell>
          <cell r="I366">
            <v>0.7458677941538342</v>
          </cell>
          <cell r="J366">
            <v>0.45739147663602192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2.8178650594239498E-3</v>
          </cell>
          <cell r="G367">
            <v>5.7849282292822867E-3</v>
          </cell>
          <cell r="H367">
            <v>1.5579391191601275E-3</v>
          </cell>
          <cell r="I367">
            <v>1.5039629291954353</v>
          </cell>
          <cell r="J367">
            <v>0.90002838950959085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4.6820054006869952E-3</v>
          </cell>
          <cell r="G368">
            <v>1.2223892752931275E-2</v>
          </cell>
          <cell r="H368">
            <v>2.7933606023517895E-3</v>
          </cell>
          <cell r="I368">
            <v>2.4568265121504154</v>
          </cell>
          <cell r="J368">
            <v>1.4776498873769508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1.44167993111577E-4</v>
          </cell>
          <cell r="G369">
            <v>7.4940560548034094E-5</v>
          </cell>
          <cell r="H369">
            <v>2.1650314665632901E-6</v>
          </cell>
          <cell r="I369">
            <v>2.15891883392446E-2</v>
          </cell>
          <cell r="J369">
            <v>1.06049214065232E-7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1.44167993111577E-4</v>
          </cell>
          <cell r="G370">
            <v>2.1901500455665334E-4</v>
          </cell>
          <cell r="H370">
            <v>2.2092754426456483E-4</v>
          </cell>
          <cell r="I370">
            <v>5.5346038074022018E-2</v>
          </cell>
          <cell r="J370">
            <v>3.3942443200801899E-2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26.49298076786706</v>
          </cell>
          <cell r="F371">
            <v>6.2609642751055737E-4</v>
          </cell>
          <cell r="G371">
            <v>6.8387274008087546E-4</v>
          </cell>
          <cell r="H371">
            <v>5.708662961383705E-4</v>
          </cell>
          <cell r="I371">
            <v>1.4452047289155111E-3</v>
          </cell>
          <cell r="J371">
            <v>4.5005527234929333E-4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26.49298076786706</v>
          </cell>
          <cell r="F372">
            <v>6.2609642751055737E-4</v>
          </cell>
          <cell r="G372">
            <v>6.8387274008087546E-4</v>
          </cell>
          <cell r="H372">
            <v>5.708662961383705E-4</v>
          </cell>
          <cell r="I372">
            <v>1.4452047289155111E-3</v>
          </cell>
          <cell r="J372">
            <v>4.5005527234929333E-4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1.2713699080529299E-6</v>
          </cell>
          <cell r="F373">
            <v>1.1557504107410599E-6</v>
          </cell>
          <cell r="G373">
            <v>1.7202424452804901E-6</v>
          </cell>
          <cell r="H373">
            <v>2.0674837217041701E-6</v>
          </cell>
          <cell r="I373">
            <v>3.67827852603134E-6</v>
          </cell>
          <cell r="J373">
            <v>5.6466015897669104E-6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4.0268257234831308</v>
          </cell>
          <cell r="F374">
            <v>8.7690394923001236E-4</v>
          </cell>
          <cell r="G374">
            <v>8.7131695846931478E-4</v>
          </cell>
          <cell r="H374">
            <v>8.6869761016306057E-4</v>
          </cell>
          <cell r="I374">
            <v>8.646171186450502E-4</v>
          </cell>
          <cell r="J374">
            <v>4.397232154342845E-4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4.9872619603808154E-3</v>
          </cell>
          <cell r="F375">
            <v>4.1254078059085875E-3</v>
          </cell>
          <cell r="G375">
            <v>5.1382587284160564E-3</v>
          </cell>
          <cell r="H375">
            <v>6.7482797336302558E-3</v>
          </cell>
          <cell r="I375">
            <v>0.20379583030273238</v>
          </cell>
          <cell r="J375">
            <v>0.22821799493865674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4.9872619603807981E-3</v>
          </cell>
          <cell r="F376">
            <v>4.1254078059085736E-3</v>
          </cell>
          <cell r="G376">
            <v>5.1382587284160425E-3</v>
          </cell>
          <cell r="H376">
            <v>6.7482797336302367E-3</v>
          </cell>
          <cell r="I376">
            <v>0.20379583030273171</v>
          </cell>
          <cell r="J376">
            <v>0.22821799493865599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5.7609423260281643E-3</v>
          </cell>
          <cell r="F377">
            <v>4.7632367440234189E-3</v>
          </cell>
          <cell r="G377">
            <v>5.927038508203265E-3</v>
          </cell>
          <cell r="H377">
            <v>7.7842643851357262E-3</v>
          </cell>
          <cell r="I377">
            <v>0.23504873043383431</v>
          </cell>
          <cell r="J377">
            <v>0.26321559319547516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5.7609423260281643E-3</v>
          </cell>
          <cell r="F378">
            <v>4.7632367440234189E-3</v>
          </cell>
          <cell r="G378">
            <v>5.927038508203265E-3</v>
          </cell>
          <cell r="H378">
            <v>7.7842643851357262E-3</v>
          </cell>
          <cell r="I378">
            <v>0.23504873043383431</v>
          </cell>
          <cell r="J378">
            <v>0.26321559319547516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8.5647415753474499E-4</v>
          </cell>
          <cell r="F379">
            <v>1.34855573072966E-6</v>
          </cell>
          <cell r="G379">
            <v>2.49876491062165E-5</v>
          </cell>
          <cell r="H379">
            <v>5.0254857520857805E-4</v>
          </cell>
          <cell r="I379">
            <v>0.205618515068826</v>
          </cell>
          <cell r="J379">
            <v>0.762984309545367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8.5647415753474499E-4</v>
          </cell>
          <cell r="F380">
            <v>8.5728938323073958E-4</v>
          </cell>
          <cell r="G380">
            <v>8.8186133840587695E-4</v>
          </cell>
          <cell r="H380">
            <v>1.1533516063302537E-3</v>
          </cell>
          <cell r="I380">
            <v>0.21884683963412027</v>
          </cell>
          <cell r="J380">
            <v>0.86840826602929755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0.14079953432808703</v>
          </cell>
          <cell r="H381">
            <v>0.23805871731848036</v>
          </cell>
          <cell r="I381">
            <v>0.24061213575627557</v>
          </cell>
          <cell r="J381">
            <v>2.7950994082697564E-2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0.14079953432808703</v>
          </cell>
          <cell r="H382">
            <v>0.23805871731848036</v>
          </cell>
          <cell r="I382">
            <v>0.24061213575627557</v>
          </cell>
          <cell r="J382">
            <v>2.7950994082697564E-2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0.14079953432808701</v>
          </cell>
          <cell r="H383">
            <v>0.23805871731848</v>
          </cell>
          <cell r="I383">
            <v>0.24061213575627599</v>
          </cell>
          <cell r="J383">
            <v>2.7950994082697599E-2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4.49234946921786E-2</v>
          </cell>
          <cell r="H384">
            <v>2.3701746896223001E-2</v>
          </cell>
          <cell r="I384">
            <v>7.1062735936051197E-4</v>
          </cell>
          <cell r="J384">
            <v>1.1645920510982401E-3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4.49234946921786E-2</v>
          </cell>
          <cell r="H385">
            <v>6.8625241588401595E-2</v>
          </cell>
          <cell r="I385">
            <v>6.93618937158893E-2</v>
          </cell>
          <cell r="J385">
            <v>8.0592651372096199E-3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2.455328466605744E-2</v>
          </cell>
          <cell r="F386">
            <v>3.3620532748517901E-4</v>
          </cell>
          <cell r="G386">
            <v>3.4860488045698286E-3</v>
          </cell>
          <cell r="H386">
            <v>6.2601666656357611E-4</v>
          </cell>
          <cell r="I386">
            <v>0.20526459025918978</v>
          </cell>
          <cell r="J386">
            <v>5.0114525055584003E-2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2.4553284666057485E-2</v>
          </cell>
          <cell r="F387">
            <v>3.3598133992522952E-4</v>
          </cell>
          <cell r="G387">
            <v>3.4824212824006631E-3</v>
          </cell>
          <cell r="H387">
            <v>6.2601666656357611E-4</v>
          </cell>
          <cell r="I387">
            <v>0.20526459025919044</v>
          </cell>
          <cell r="J387">
            <v>5.011452505558403E-2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3.2726926641809963E-2</v>
          </cell>
          <cell r="F388">
            <v>4.4215732592830284E-4</v>
          </cell>
          <cell r="G388">
            <v>4.4995550811753804E-3</v>
          </cell>
          <cell r="H388">
            <v>7.8395709841237488E-4</v>
          </cell>
          <cell r="I388">
            <v>0.24148922615572385</v>
          </cell>
          <cell r="J388">
            <v>5.5684233208722678E-2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3.2726926641809963E-2</v>
          </cell>
          <cell r="F389">
            <v>4.4215732592830284E-4</v>
          </cell>
          <cell r="G389">
            <v>4.4995550811753804E-3</v>
          </cell>
          <cell r="H389">
            <v>7.8395709841237488E-4</v>
          </cell>
          <cell r="I389">
            <v>0.24148922615572385</v>
          </cell>
          <cell r="J389">
            <v>5.5684233208722678E-2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4.8698065511594002E-3</v>
          </cell>
          <cell r="F390">
            <v>7.9051400563773393E-5</v>
          </cell>
          <cell r="G390">
            <v>7.2460696071619703E-5</v>
          </cell>
          <cell r="H390">
            <v>4.1769320626909902E-5</v>
          </cell>
          <cell r="I390">
            <v>9.1240254502792002E-3</v>
          </cell>
          <cell r="J390">
            <v>6.3588653938536797E-3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4.8698065511594002E-3</v>
          </cell>
          <cell r="F391">
            <v>4.9398377168913569E-3</v>
          </cell>
          <cell r="G391">
            <v>4.9836385188930573E-3</v>
          </cell>
          <cell r="H391">
            <v>4.941545278289005E-3</v>
          </cell>
          <cell r="I391">
            <v>1.3106095974337633E-2</v>
          </cell>
          <cell r="J391">
            <v>1.463655236274285E-2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4.7893111804629604E-5</v>
          </cell>
          <cell r="G392">
            <v>5.7014246795865538E-3</v>
          </cell>
          <cell r="H392">
            <v>6.712071380217015E-3</v>
          </cell>
          <cell r="I392">
            <v>7.4242730912798842E-3</v>
          </cell>
          <cell r="J392">
            <v>8.2073507923089324E-3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4.7893111804629604E-5</v>
          </cell>
          <cell r="G393">
            <v>5.7014246795865538E-3</v>
          </cell>
          <cell r="H393">
            <v>6.712071380217015E-3</v>
          </cell>
          <cell r="I393">
            <v>7.4242730912798842E-3</v>
          </cell>
          <cell r="J393">
            <v>8.2073507923089324E-3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4.7893111804629598E-5</v>
          </cell>
          <cell r="G394">
            <v>5.7014246795865598E-3</v>
          </cell>
          <cell r="H394">
            <v>6.7120713802170202E-3</v>
          </cell>
          <cell r="I394">
            <v>7.4242730912798902E-3</v>
          </cell>
          <cell r="J394">
            <v>8.2073507923089307E-3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1.6332277764164001E-5</v>
          </cell>
          <cell r="G395">
            <v>1.80283472465438E-3</v>
          </cell>
          <cell r="H395">
            <v>1.1588949340346599E-4</v>
          </cell>
          <cell r="I395">
            <v>1.13334651057868E-4</v>
          </cell>
          <cell r="J395">
            <v>2.1431694275102298E-3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1.6332277764164001E-5</v>
          </cell>
          <cell r="G396">
            <v>1.81916700241854E-3</v>
          </cell>
          <cell r="H396">
            <v>1.9350564958220101E-3</v>
          </cell>
          <cell r="I396">
            <v>2.1404914990611102E-3</v>
          </cell>
          <cell r="J396">
            <v>2.3662969924273499E-3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0.21607653898081156</v>
          </cell>
          <cell r="F397">
            <v>1.0886161235192959E-3</v>
          </cell>
          <cell r="G397">
            <v>4.9364098290535516E-3</v>
          </cell>
          <cell r="H397">
            <v>0.25584251957014631</v>
          </cell>
          <cell r="I397">
            <v>2.3832339138253631</v>
          </cell>
          <cell r="J397">
            <v>3.1883517987946051E-2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0.21607653898081114</v>
          </cell>
          <cell r="F398">
            <v>1.0893418676016389E-3</v>
          </cell>
          <cell r="G398">
            <v>4.9415519226254732E-3</v>
          </cell>
          <cell r="H398">
            <v>0.25584251957014631</v>
          </cell>
          <cell r="I398">
            <v>2.383233913825356</v>
          </cell>
          <cell r="J398">
            <v>3.1883517987946045E-2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0.28809372435780756</v>
          </cell>
          <cell r="F399">
            <v>1.4391738942664128E-3</v>
          </cell>
          <cell r="G399">
            <v>6.3776236206198643E-3</v>
          </cell>
          <cell r="H399">
            <v>0.31980458577655313</v>
          </cell>
          <cell r="I399">
            <v>2.8038060780688272</v>
          </cell>
          <cell r="J399">
            <v>3.5427558689135566E-2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0.28809372435780756</v>
          </cell>
          <cell r="F400">
            <v>1.4391738942664128E-3</v>
          </cell>
          <cell r="G400">
            <v>6.3776236206198643E-3</v>
          </cell>
          <cell r="H400">
            <v>0.31980458577655313</v>
          </cell>
          <cell r="I400">
            <v>2.8038060780688272</v>
          </cell>
          <cell r="J400">
            <v>3.5427558689135566E-2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1.3127772840288E-2</v>
          </cell>
          <cell r="F401">
            <v>5.3471978196241398E-5</v>
          </cell>
          <cell r="G401">
            <v>9.9407105411270105E-5</v>
          </cell>
          <cell r="H401">
            <v>0.22056991173532101</v>
          </cell>
          <cell r="I401">
            <v>6.9691660126072297E-4</v>
          </cell>
          <cell r="J401">
            <v>7.94703887516926E-3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1.3808339194438487E-2</v>
          </cell>
          <cell r="F402">
            <v>1.3827148814901588E-2</v>
          </cell>
          <cell r="G402">
            <v>1.3887706930809303E-2</v>
          </cell>
          <cell r="H402">
            <v>0.23403821927876955</v>
          </cell>
          <cell r="I402">
            <v>0.15121437792641057</v>
          </cell>
          <cell r="J402">
            <v>8.4979927750357953E-3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53.629932443797927</v>
          </cell>
          <cell r="F403">
            <v>5.2563953039432097E-3</v>
          </cell>
          <cell r="G403">
            <v>0.36953414050140709</v>
          </cell>
          <cell r="H403">
            <v>16.986160689629074</v>
          </cell>
          <cell r="I403">
            <v>0.43439115784163917</v>
          </cell>
          <cell r="J403">
            <v>1.0159585373894144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60.337393001221358</v>
          </cell>
          <cell r="F404">
            <v>58.497156957287359</v>
          </cell>
          <cell r="G404">
            <v>54.813721216021008</v>
          </cell>
          <cell r="H404">
            <v>49.820345465345916</v>
          </cell>
          <cell r="I404">
            <v>50.90467468265183</v>
          </cell>
          <cell r="J404">
            <v>48.459901378912875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113.96732293519912</v>
          </cell>
          <cell r="F405">
            <v>58.502413352591333</v>
          </cell>
          <cell r="G405">
            <v>55.183255356522444</v>
          </cell>
          <cell r="H405">
            <v>66.806506154974912</v>
          </cell>
          <cell r="I405">
            <v>51.339065840493539</v>
          </cell>
          <cell r="J405">
            <v>49.475859916302312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6.2801762793699206E-8</v>
          </cell>
          <cell r="F406">
            <v>6.4715536059324897E-8</v>
          </cell>
          <cell r="G406">
            <v>7.3342524394976695E-8</v>
          </cell>
          <cell r="H406">
            <v>8.7186781472765403E-8</v>
          </cell>
          <cell r="I406">
            <v>1.65939759333357E-7</v>
          </cell>
          <cell r="J406">
            <v>2.87760625550705E-7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4.3683888793682071</v>
          </cell>
          <cell r="G407">
            <v>4.3683889864663188</v>
          </cell>
          <cell r="H407">
            <v>4.3683891077780812</v>
          </cell>
          <cell r="I407">
            <v>4.3683893501595845</v>
          </cell>
          <cell r="J407">
            <v>4.3683896491336762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0.39264219267777456</v>
          </cell>
          <cell r="F408">
            <v>4.35963918848482E-2</v>
          </cell>
          <cell r="G408">
            <v>7.4878127686926702E-3</v>
          </cell>
          <cell r="H408">
            <v>3.660583073219309E-2</v>
          </cell>
          <cell r="I408">
            <v>1.995015455454755</v>
          </cell>
          <cell r="J408">
            <v>2.4633890872224713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1.0268318687956772</v>
          </cell>
          <cell r="F409">
            <v>0.11401261857918864</v>
          </cell>
          <cell r="G409">
            <v>1.9582013654805174E-2</v>
          </cell>
          <cell r="H409">
            <v>9.5731009760336688E-2</v>
          </cell>
          <cell r="I409">
            <v>5.2173339661487201</v>
          </cell>
          <cell r="J409">
            <v>6.4422175384482285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1.6102057972085939</v>
          </cell>
          <cell r="F410">
            <v>0.1747802916163014</v>
          </cell>
          <cell r="G410">
            <v>3.0740640354875837E-2</v>
          </cell>
          <cell r="H410">
            <v>0.13323670795276196</v>
          </cell>
          <cell r="I410">
            <v>6.5217105975870906</v>
          </cell>
          <cell r="J410">
            <v>8.0480377031113779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2.0594020321282499E-7</v>
          </cell>
          <cell r="G411">
            <v>1.5840922146300001E-5</v>
          </cell>
          <cell r="H411">
            <v>1.51024564405647E-5</v>
          </cell>
          <cell r="I411">
            <v>5.48627311803708E-3</v>
          </cell>
          <cell r="J411">
            <v>3.8094658270013002E-2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1.4715606660582699E-2</v>
          </cell>
          <cell r="F412">
            <v>1.8614014920212141E-3</v>
          </cell>
          <cell r="G412">
            <v>1.3631211483497094E-3</v>
          </cell>
          <cell r="H412">
            <v>1.3759979895450782E-3</v>
          </cell>
          <cell r="I412">
            <v>7.9198125220301785E-2</v>
          </cell>
          <cell r="J412">
            <v>0.10210916953950809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9.3208457668582953E-4</v>
          </cell>
          <cell r="J413">
            <v>0.15772493520276784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9.3208457668582953E-4</v>
          </cell>
          <cell r="J414">
            <v>0.15772493520276784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2.7797705990874501E-4</v>
          </cell>
          <cell r="J415">
            <v>1.02959722935872E-2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2.78170947411207E-4</v>
          </cell>
          <cell r="J416">
            <v>1.0391185342713501E-2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124.99781981092754</v>
          </cell>
          <cell r="F417">
            <v>139.31359866210232</v>
          </cell>
          <cell r="G417">
            <v>119.40880729111029</v>
          </cell>
          <cell r="H417">
            <v>126.43696030853219</v>
          </cell>
          <cell r="I417">
            <v>113.44061399502435</v>
          </cell>
          <cell r="J417">
            <v>72.664726693125246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126.31417652327424</v>
          </cell>
          <cell r="F418">
            <v>142.92458413867723</v>
          </cell>
          <cell r="G418">
            <v>122.2379365160653</v>
          </cell>
          <cell r="H418">
            <v>128.96601422389875</v>
          </cell>
          <cell r="I418">
            <v>114.88143584634666</v>
          </cell>
          <cell r="J418">
            <v>73.064638453579079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1.17998141984875E-7</v>
          </cell>
          <cell r="F419">
            <v>1.23540436558543E-7</v>
          </cell>
          <cell r="G419">
            <v>1.42658497256205E-7</v>
          </cell>
          <cell r="H419">
            <v>1.7286328044837E-7</v>
          </cell>
          <cell r="I419">
            <v>3.8014383349804499E-7</v>
          </cell>
          <cell r="J419">
            <v>1.18144752553025E-6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15.305609299230021</v>
          </cell>
          <cell r="I420">
            <v>15.305609741025558</v>
          </cell>
          <cell r="J420">
            <v>15.305610487770851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12.240000314010684</v>
          </cell>
          <cell r="F421">
            <v>12.241348186591573</v>
          </cell>
          <cell r="G421">
            <v>12.246088282326802</v>
          </cell>
          <cell r="H421">
            <v>12.25421227779179</v>
          </cell>
          <cell r="I421">
            <v>12.270434962228929</v>
          </cell>
          <cell r="J421">
            <v>12.286712965542558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12.240000314010684</v>
          </cell>
          <cell r="F422">
            <v>12.241348186591573</v>
          </cell>
          <cell r="G422">
            <v>12.246088282326802</v>
          </cell>
          <cell r="H422">
            <v>12.25421227779179</v>
          </cell>
          <cell r="I422">
            <v>12.270434962228929</v>
          </cell>
          <cell r="J422">
            <v>12.286712965542558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7.8887359388452949E-5</v>
          </cell>
          <cell r="F424">
            <v>9.2659182400783478E-5</v>
          </cell>
          <cell r="G424">
            <v>4.4059356515742837E-5</v>
          </cell>
          <cell r="H424">
            <v>6.3105100953719101E-4</v>
          </cell>
          <cell r="I424">
            <v>3.944997664260463E-3</v>
          </cell>
          <cell r="J424">
            <v>1.4993786459719695E-3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7.8887359388452787E-5</v>
          </cell>
          <cell r="F425">
            <v>9.2720955189050448E-5</v>
          </cell>
          <cell r="G425">
            <v>4.4105251678780029E-5</v>
          </cell>
          <cell r="H425">
            <v>6.3105100953719101E-4</v>
          </cell>
          <cell r="I425">
            <v>3.9449976642604457E-3</v>
          </cell>
          <cell r="J425">
            <v>1.4993786459719675E-3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6.1932413295671994E-5</v>
          </cell>
          <cell r="F426">
            <v>7.1030608004536735E-5</v>
          </cell>
          <cell r="G426">
            <v>3.5193479902327512E-5</v>
          </cell>
          <cell r="H426">
            <v>7.9024540166002151E-4</v>
          </cell>
          <cell r="I426">
            <v>4.6426439387087385E-3</v>
          </cell>
          <cell r="J426">
            <v>1.6674038647151743E-3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6.1932413295671994E-5</v>
          </cell>
          <cell r="F427">
            <v>7.1030608004536735E-5</v>
          </cell>
          <cell r="G427">
            <v>3.5193479902327512E-5</v>
          </cell>
          <cell r="H427">
            <v>7.9024540166002151E-4</v>
          </cell>
          <cell r="I427">
            <v>4.6426439387087385E-3</v>
          </cell>
          <cell r="J427">
            <v>1.6674038647151743E-3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1.9185405834233099E-3</v>
          </cell>
          <cell r="F428">
            <v>4.8501364879654799E-5</v>
          </cell>
          <cell r="G428">
            <v>7.4530544083264194E-5</v>
          </cell>
          <cell r="H428">
            <v>5.9409527769597698E-5</v>
          </cell>
          <cell r="I428">
            <v>1.5729542498420899E-4</v>
          </cell>
          <cell r="J428">
            <v>3.7029757962378702E-4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1.9185405834233099E-3</v>
          </cell>
          <cell r="F429">
            <v>1.9614213295276331E-3</v>
          </cell>
          <cell r="G429">
            <v>2.020733282098423E-3</v>
          </cell>
          <cell r="H429">
            <v>2.0558330016906684E-3</v>
          </cell>
          <cell r="I429">
            <v>2.6266576346812491E-3</v>
          </cell>
          <cell r="J429">
            <v>1.5028590240842828E-3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0.18407144809799639</v>
          </cell>
          <cell r="F430">
            <v>3.5488070379658505</v>
          </cell>
          <cell r="G430">
            <v>2.0855130306536534E-3</v>
          </cell>
          <cell r="H430">
            <v>6.3121469967948336E-3</v>
          </cell>
          <cell r="I430">
            <v>3.9143621914446651E-4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15.876863671474</v>
          </cell>
          <cell r="F431">
            <v>306.098127223701</v>
          </cell>
          <cell r="G431">
            <v>0.179883444254444</v>
          </cell>
          <cell r="H431">
            <v>0.54444672640952896</v>
          </cell>
          <cell r="I431">
            <v>3.3762865189854399E-2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0.21542555863601137</v>
          </cell>
          <cell r="F432">
            <v>4.1532988768480452</v>
          </cell>
          <cell r="G432">
            <v>2.4407522965324783E-3</v>
          </cell>
          <cell r="H432">
            <v>7.3873368576598299E-3</v>
          </cell>
          <cell r="I432">
            <v>4.5811214640236652E-4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7.7850503866284005E-4</v>
          </cell>
          <cell r="F433">
            <v>0.40977823767845201</v>
          </cell>
          <cell r="G433">
            <v>6.4043095895341396E-6</v>
          </cell>
          <cell r="H433">
            <v>5.8716720090510096E-6</v>
          </cell>
          <cell r="I433">
            <v>1.06987794939289E-5</v>
          </cell>
          <cell r="J433">
            <v>3.3417682408888502E-4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4.0351124072839521E-2</v>
          </cell>
          <cell r="F434">
            <v>0.45012769206312697</v>
          </cell>
          <cell r="G434">
            <v>3.2000522439543655E-3</v>
          </cell>
          <cell r="H434">
            <v>2.4690070595558833E-3</v>
          </cell>
          <cell r="I434">
            <v>1.1981811755590044E-3</v>
          </cell>
          <cell r="J434">
            <v>3.4727545662313386E-4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2.1785585830089467</v>
          </cell>
          <cell r="I435">
            <v>1.3366845682141129</v>
          </cell>
          <cell r="J435">
            <v>2.4544568268188538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1.9676712103426745E-3</v>
          </cell>
          <cell r="I436">
            <v>4.196147594126504E-3</v>
          </cell>
          <cell r="J436">
            <v>1.0275863930103715E-3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2.002889057355709E-3</v>
          </cell>
          <cell r="I437">
            <v>4.5010501451873929E-3</v>
          </cell>
          <cell r="J437">
            <v>1.4700689088888246E-3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3.1769316747406404E-4</v>
          </cell>
          <cell r="I438">
            <v>3.3661480424129899E-4</v>
          </cell>
          <cell r="J438">
            <v>8.1673604542787596E-4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3.183033502985974E-4</v>
          </cell>
          <cell r="I439">
            <v>4.4497139475160495E-4</v>
          </cell>
          <cell r="J439">
            <v>2.691501644683284E-4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8.9188650652243535E-3</v>
          </cell>
          <cell r="I440">
            <v>0.37295580598193828</v>
          </cell>
          <cell r="J440">
            <v>0.68901800427681559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6.8207088674698494E-3</v>
          </cell>
          <cell r="I441">
            <v>0.18919265888644207</v>
          </cell>
          <cell r="J441">
            <v>0.40238619541391613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0.71796815314184392</v>
          </cell>
          <cell r="I442">
            <v>0.23887427304832548</v>
          </cell>
          <cell r="J442">
            <v>0.54578113818518248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1.0968018897412157</v>
          </cell>
          <cell r="I443">
            <v>0.22596802355454967</v>
          </cell>
          <cell r="J443">
            <v>0.41098138747164725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5.5569735631602201E-4</v>
          </cell>
          <cell r="I444">
            <v>1.7264047196523275E-3</v>
          </cell>
          <cell r="J444">
            <v>1.5580165874978008E-3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6.0333846609735822E-4</v>
          </cell>
          <cell r="I445">
            <v>7.1142692145830921E-4</v>
          </cell>
          <cell r="J445">
            <v>6.0204825575912448E-4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0.31316962838744938</v>
          </cell>
          <cell r="I446">
            <v>0.25600656518800829</v>
          </cell>
          <cell r="J446">
            <v>0.35246579449731091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2.8816518403703899E-3</v>
          </cell>
          <cell r="I447">
            <v>4.694980070636086E-3</v>
          </cell>
          <cell r="J447">
            <v>1.4372746860814162E-3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1.7304475057537233E-4</v>
          </cell>
          <cell r="I448">
            <v>6.503886440693149E-3</v>
          </cell>
          <cell r="J448">
            <v>8.3297305501658751E-3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4.1327449148691794E-3</v>
          </cell>
          <cell r="I449">
            <v>5.7124218799213724E-3</v>
          </cell>
          <cell r="J449">
            <v>3.7568874533208362E-3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5.2016412484845523E-3</v>
          </cell>
          <cell r="I450">
            <v>1.0241151665954278E-2</v>
          </cell>
          <cell r="J450">
            <v>5.8390150011814902E-3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5.3024669740797071E-3</v>
          </cell>
          <cell r="I451">
            <v>1.1490301140679804E-2</v>
          </cell>
          <cell r="J451">
            <v>8.9896028045886971E-3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2.3513578187088209E-4</v>
          </cell>
          <cell r="I452">
            <v>3.0172100364151696E-4</v>
          </cell>
          <cell r="J452">
            <v>2.4305809753000617E-4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1.9545115823939237E-4</v>
          </cell>
          <cell r="I453">
            <v>2.807092165286279E-4</v>
          </cell>
          <cell r="J453">
            <v>2.1300827152349267E-4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8.7052465180332831E-5</v>
          </cell>
          <cell r="I454">
            <v>1.2299678831374905E-4</v>
          </cell>
          <cell r="J454">
            <v>1.0239113203177483E-4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1.7201812168290056E-4</v>
          </cell>
          <cell r="I455">
            <v>2.6837892459370476E-4</v>
          </cell>
          <cell r="J455">
            <v>2.0698211798792323E-4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1.0324953046564769E-3</v>
          </cell>
          <cell r="I456">
            <v>9.0048378468319005E-4</v>
          </cell>
          <cell r="J456">
            <v>5.2125394622257984E-4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9.7935947031940109E-3</v>
          </cell>
          <cell r="I457">
            <v>1.3389997671383498E-3</v>
          </cell>
          <cell r="J457">
            <v>1.8513059756761475E-2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0.45333902026061901</v>
          </cell>
          <cell r="I458">
            <v>0.86297510530321297</v>
          </cell>
          <cell r="J458">
            <v>2.3617599124851201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0.45333902026061901</v>
          </cell>
          <cell r="I459">
            <v>1.6376654204144681</v>
          </cell>
          <cell r="J459">
            <v>3.1847704002032327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1.1839528190004767</v>
          </cell>
          <cell r="F460">
            <v>0.39669748329678217</v>
          </cell>
          <cell r="G460">
            <v>2.6576197814669796E-3</v>
          </cell>
          <cell r="H460">
            <v>3.024479041777262</v>
          </cell>
          <cell r="I460">
            <v>3.3902341944753243</v>
          </cell>
          <cell r="J460">
            <v>4.2851089736422765E-2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1.1839528190004767</v>
          </cell>
          <cell r="F461">
            <v>0.39669748329678217</v>
          </cell>
          <cell r="G461">
            <v>2.6576197814669796E-3</v>
          </cell>
          <cell r="H461">
            <v>3.024479041777262</v>
          </cell>
          <cell r="I461">
            <v>3.3902341944753243</v>
          </cell>
          <cell r="J461">
            <v>4.2851089736422765E-2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144.70369325586253</v>
          </cell>
          <cell r="F462">
            <v>103.44575275923812</v>
          </cell>
          <cell r="G462">
            <v>91.593859191431875</v>
          </cell>
          <cell r="H462">
            <v>146.38594984649754</v>
          </cell>
          <cell r="I462">
            <v>126.52380582887237</v>
          </cell>
          <cell r="J462">
            <v>100.50019910357693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31.064959986146039</v>
          </cell>
          <cell r="F463">
            <v>71.157138940802838</v>
          </cell>
          <cell r="G463">
            <v>73.799019471891768</v>
          </cell>
          <cell r="H463">
            <v>37.489017344195645</v>
          </cell>
          <cell r="I463">
            <v>31.373947579797672</v>
          </cell>
          <cell r="J463">
            <v>22.105725647139295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2.8976675172681276E-2</v>
          </cell>
          <cell r="F464">
            <v>3.1181741273365996E-3</v>
          </cell>
          <cell r="G464">
            <v>7.4451753411619248E-2</v>
          </cell>
          <cell r="H464">
            <v>0.44321385814317305</v>
          </cell>
          <cell r="I464">
            <v>1.3237806983803226</v>
          </cell>
          <cell r="J464">
            <v>1.7058774132909789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179.48038719552426</v>
          </cell>
          <cell r="F465">
            <v>182.83467601074602</v>
          </cell>
          <cell r="G465">
            <v>172.69598822606815</v>
          </cell>
          <cell r="H465">
            <v>191.32259804885902</v>
          </cell>
          <cell r="I465">
            <v>163.49126773030267</v>
          </cell>
          <cell r="J465">
            <v>126.28457271466999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1.5753149481846801E-7</v>
          </cell>
          <cell r="F466">
            <v>1.6434746362635E-7</v>
          </cell>
          <cell r="G466">
            <v>1.9148127741781101E-7</v>
          </cell>
          <cell r="H466">
            <v>2.3683244091397099E-7</v>
          </cell>
          <cell r="I466">
            <v>4.8947119407822195E-7</v>
          </cell>
          <cell r="J466">
            <v>1.5044213629465E-6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13.914190320885869</v>
          </cell>
          <cell r="I467">
            <v>13.914190917433777</v>
          </cell>
          <cell r="J467">
            <v>13.914191874991229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0.90177644322995876</v>
          </cell>
          <cell r="F468">
            <v>0.30215093015924038</v>
          </cell>
          <cell r="G468">
            <v>2.024218258977693E-3</v>
          </cell>
          <cell r="H468">
            <v>2.3036424333361554</v>
          </cell>
          <cell r="I468">
            <v>2.5822256466195492</v>
          </cell>
          <cell r="J468">
            <v>3.2638212157526492E-2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1.1839528190004767</v>
          </cell>
          <cell r="F469">
            <v>0.39669748329678217</v>
          </cell>
          <cell r="G469">
            <v>2.6576197814669796E-3</v>
          </cell>
          <cell r="H469">
            <v>3.024479041777262</v>
          </cell>
          <cell r="I469">
            <v>3.3902341944753243</v>
          </cell>
          <cell r="J469">
            <v>4.2851089736422765E-2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2.5193760947613498E-5</v>
          </cell>
          <cell r="F470">
            <v>1.8765988500955299E-5</v>
          </cell>
          <cell r="G470">
            <v>5.56795857876742E-5</v>
          </cell>
          <cell r="H470">
            <v>0.24138814896149599</v>
          </cell>
          <cell r="I470">
            <v>8.5976063903187697E-2</v>
          </cell>
          <cell r="J470">
            <v>4.7226116695979699E-6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0.11440084099641643</v>
          </cell>
          <cell r="F471">
            <v>0.11286799414182244</v>
          </cell>
          <cell r="G471">
            <v>0.11290881658510094</v>
          </cell>
          <cell r="H471">
            <v>0.29220057643679437</v>
          </cell>
          <cell r="I471">
            <v>0.32752553106711718</v>
          </cell>
          <cell r="J471">
            <v>4.2345946797816988E-2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0.41736138336852047</v>
          </cell>
          <cell r="J472">
            <v>0.71411554418193357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0.53213576379486371</v>
          </cell>
          <cell r="J473">
            <v>0.94620309604106156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58.847955054961403</v>
          </cell>
          <cell r="J474">
            <v>100.690291729653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1.0434034584213008</v>
          </cell>
          <cell r="J475">
            <v>1.7852888604548312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1.5763984536623501E-2</v>
          </cell>
          <cell r="J476">
            <v>3.3437828185255203E-2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1.5763984536623501E-2</v>
          </cell>
          <cell r="J477">
            <v>4.9201696830089237E-2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258.18373820222513</v>
          </cell>
          <cell r="F478">
            <v>118.58219740445041</v>
          </cell>
          <cell r="G478">
            <v>106.28931885589849</v>
          </cell>
          <cell r="H478">
            <v>160.09780098567086</v>
          </cell>
          <cell r="I478">
            <v>132.04125294458595</v>
          </cell>
          <cell r="J478">
            <v>116.401596946514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0.12623105659863404</v>
          </cell>
          <cell r="F479">
            <v>2.7579110230538315E-3</v>
          </cell>
          <cell r="G479">
            <v>2.0690227456700471E-2</v>
          </cell>
          <cell r="H479">
            <v>12.716360179409699</v>
          </cell>
          <cell r="I479">
            <v>3.9284700434088207E-3</v>
          </cell>
          <cell r="J479">
            <v>0.2958177934293974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266.46836930408057</v>
          </cell>
          <cell r="F480">
            <v>124.19321170591498</v>
          </cell>
          <cell r="G480">
            <v>111.09605634067717</v>
          </cell>
          <cell r="H480">
            <v>179.94318441932836</v>
          </cell>
          <cell r="I480">
            <v>136.50818323583684</v>
          </cell>
          <cell r="J480">
            <v>119.78423754635848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7.1975693479070899E-7</v>
          </cell>
          <cell r="F481">
            <v>8.4170107738033697E-7</v>
          </cell>
          <cell r="G481">
            <v>9.0834073114670896E-7</v>
          </cell>
          <cell r="H481">
            <v>1.0302929540102201E-6</v>
          </cell>
          <cell r="I481">
            <v>1.4092326798094499E-6</v>
          </cell>
          <cell r="J481">
            <v>4.2703870482304102E-6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12.649264527402048</v>
          </cell>
          <cell r="I482">
            <v>12.649267288492698</v>
          </cell>
          <cell r="J482">
            <v>12.649270049349978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2267.7888438954901</v>
          </cell>
          <cell r="F483">
            <v>1898.7866979217799</v>
          </cell>
          <cell r="G483">
            <v>1832.9543916322</v>
          </cell>
          <cell r="H483">
            <v>919.81988515123999</v>
          </cell>
          <cell r="I483">
            <v>177.47470370384701</v>
          </cell>
          <cell r="J483">
            <v>1.07510528403909E-4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30.256636734487458</v>
          </cell>
          <cell r="F484">
            <v>25.333442974615789</v>
          </cell>
          <cell r="G484">
            <v>24.45568841767529</v>
          </cell>
          <cell r="H484">
            <v>12.272694350011111</v>
          </cell>
          <cell r="I484">
            <v>2.3687169213460373</v>
          </cell>
          <cell r="J484">
            <v>7.9231004973455268E-2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30.770540622733975</v>
          </cell>
          <cell r="F485">
            <v>25.763727244528926</v>
          </cell>
          <cell r="G485">
            <v>24.870480212105758</v>
          </cell>
          <cell r="H485">
            <v>12.480595456597564</v>
          </cell>
          <cell r="I485">
            <v>2.4080692497129887</v>
          </cell>
          <cell r="J485">
            <v>1.4587588657246874E-6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5.8706247684827296E-4</v>
          </cell>
          <cell r="H486">
            <v>5.5402078635596137E-4</v>
          </cell>
          <cell r="I486">
            <v>8.860137554508752E-4</v>
          </cell>
          <cell r="J486">
            <v>8.0579900541362659E-2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9.2700779640888502</v>
          </cell>
          <cell r="F487">
            <v>9.2699703994364704</v>
          </cell>
          <cell r="G487">
            <v>2.4015047353697399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0.10000084103655721</v>
          </cell>
          <cell r="F488">
            <v>9.9999680684320025E-2</v>
          </cell>
          <cell r="G488">
            <v>2.590619995005115E-2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0.10000084103655721</v>
          </cell>
          <cell r="F489">
            <v>9.9999680684320025E-2</v>
          </cell>
          <cell r="G489">
            <v>2.590619995005115E-2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54.392402136025318</v>
          </cell>
          <cell r="F490">
            <v>43.48828496656342</v>
          </cell>
          <cell r="G490">
            <v>53.269057249540026</v>
          </cell>
          <cell r="H490">
            <v>52.174788521726981</v>
          </cell>
          <cell r="I490">
            <v>49.98547328279836</v>
          </cell>
          <cell r="J490">
            <v>47.801484185819376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54.392402136025318</v>
          </cell>
          <cell r="F491">
            <v>43.48828496656342</v>
          </cell>
          <cell r="G491">
            <v>53.269057249540026</v>
          </cell>
          <cell r="H491">
            <v>52.174788521726981</v>
          </cell>
          <cell r="I491">
            <v>49.98547328279836</v>
          </cell>
          <cell r="J491">
            <v>47.801484185819376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2.2860446491914312</v>
          </cell>
          <cell r="G493">
            <v>2.3553152915383402</v>
          </cell>
          <cell r="H493">
            <v>2.4754603177036962</v>
          </cell>
          <cell r="I493">
            <v>2.7344497072877814</v>
          </cell>
          <cell r="J493">
            <v>3.0205320954083099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0.78829125834187341</v>
          </cell>
          <cell r="G494">
            <v>0.81217768673735924</v>
          </cell>
          <cell r="H494">
            <v>0.85360700610472195</v>
          </cell>
          <cell r="I494">
            <v>0.94291369216820087</v>
          </cell>
          <cell r="J494">
            <v>1.0415627915201064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0.14077377218040901</v>
          </cell>
          <cell r="G495">
            <v>4.2660332340684198E-3</v>
          </cell>
          <cell r="H495">
            <v>7.3906530914987301E-3</v>
          </cell>
          <cell r="I495">
            <v>7.5949839626062998E-2</v>
          </cell>
          <cell r="J495">
            <v>0.1019802448516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0.14077377218040901</v>
          </cell>
          <cell r="G496">
            <v>0.14503976588538511</v>
          </cell>
          <cell r="H496">
            <v>0.15243038400930045</v>
          </cell>
          <cell r="I496">
            <v>0.16838074720050128</v>
          </cell>
          <cell r="J496">
            <v>0.18605278025285521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7.1200114207313234</v>
          </cell>
          <cell r="F497">
            <v>7.6289076313582243</v>
          </cell>
          <cell r="G497">
            <v>7.329777532220243</v>
          </cell>
          <cell r="H497">
            <v>6.8811466718712637</v>
          </cell>
          <cell r="I497">
            <v>8.6914098623231695</v>
          </cell>
          <cell r="J497">
            <v>6.5616482030676737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7.7403481063144204</v>
          </cell>
          <cell r="F498">
            <v>8.2914026523250222</v>
          </cell>
          <cell r="G498">
            <v>7.9631568477928782</v>
          </cell>
          <cell r="H498">
            <v>7.4708523429891969</v>
          </cell>
          <cell r="I498">
            <v>9.4238822803200062</v>
          </cell>
          <cell r="J498">
            <v>7.1053192267544532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0.79547237191090303</v>
          </cell>
          <cell r="F499">
            <v>8.1913258052722596E-8</v>
          </cell>
          <cell r="G499">
            <v>9.3467575283023202E-8</v>
          </cell>
          <cell r="H499">
            <v>1.07214465356042E-7</v>
          </cell>
          <cell r="I499">
            <v>1.9702547439252399E-7</v>
          </cell>
          <cell r="J499">
            <v>1.93392704538471E-7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0.79547237191090303</v>
          </cell>
          <cell r="F500">
            <v>0.79547245382416099</v>
          </cell>
          <cell r="G500">
            <v>0.795472547291736</v>
          </cell>
          <cell r="H500">
            <v>0.79547265450620197</v>
          </cell>
          <cell r="I500">
            <v>0.795473006393694</v>
          </cell>
          <cell r="J500">
            <v>0.79547319978639897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2.9680037177921501</v>
          </cell>
          <cell r="I501">
            <v>2.2572524331619173</v>
          </cell>
          <cell r="J501">
            <v>11.226437771775752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2.9906151217542032</v>
          </cell>
          <cell r="I502">
            <v>2.2744490580531163</v>
          </cell>
          <cell r="J502">
            <v>11.311965130785028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0.149857802137353</v>
          </cell>
          <cell r="I503">
            <v>3.33441348507708E-5</v>
          </cell>
          <cell r="J503">
            <v>0.33417870423545498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0.149857802137353</v>
          </cell>
          <cell r="I504">
            <v>0.14989792928238799</v>
          </cell>
          <cell r="J504">
            <v>0.48407663351784302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1.2875827582058614</v>
          </cell>
          <cell r="G505">
            <v>2.1021360689337358</v>
          </cell>
          <cell r="H505">
            <v>4.5780875508100038</v>
          </cell>
          <cell r="I505">
            <v>5.0570738737862984</v>
          </cell>
          <cell r="J505">
            <v>5.5861649919263154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1.2875827582058614</v>
          </cell>
          <cell r="G506">
            <v>2.1021360689337358</v>
          </cell>
          <cell r="H506">
            <v>4.5780875508100038</v>
          </cell>
          <cell r="I506">
            <v>5.0570738737862984</v>
          </cell>
          <cell r="J506">
            <v>5.5861649919263154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1.2875827582058601</v>
          </cell>
          <cell r="G507">
            <v>2.1021360689337398</v>
          </cell>
          <cell r="H507">
            <v>4.5780875508100003</v>
          </cell>
          <cell r="I507">
            <v>5.0570738737863001</v>
          </cell>
          <cell r="J507">
            <v>5.5861649919263199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6.3035772489736904E-8</v>
          </cell>
          <cell r="G508">
            <v>0.18755955334896801</v>
          </cell>
          <cell r="H508">
            <v>0.66074655045131703</v>
          </cell>
          <cell r="I508">
            <v>0.29574478703134999</v>
          </cell>
          <cell r="J508">
            <v>1.01864012605141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0.43894538051218551</v>
          </cell>
          <cell r="G509">
            <v>0.67070761638474097</v>
          </cell>
          <cell r="H509">
            <v>1.31972937909554</v>
          </cell>
          <cell r="I509">
            <v>1.457807296939712</v>
          </cell>
          <cell r="J509">
            <v>1.6103288098336299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1.4500056911925576</v>
          </cell>
          <cell r="F510">
            <v>3.8016676618055705</v>
          </cell>
          <cell r="G510">
            <v>3.8003323235392847</v>
          </cell>
          <cell r="H510">
            <v>1.0357994872748932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1.4500056911925576</v>
          </cell>
          <cell r="F511">
            <v>3.8016676618055705</v>
          </cell>
          <cell r="G511">
            <v>3.8003323235392847</v>
          </cell>
          <cell r="H511">
            <v>1.0357994872748932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186.34921703731848</v>
          </cell>
          <cell r="J513">
            <v>863.35958939574039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-186.349217037318</v>
          </cell>
          <cell r="J514">
            <v>-863.35958939574004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1.3265961006526727</v>
          </cell>
          <cell r="J515">
            <v>6.4001188067638974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0.62711815667217086</v>
          </cell>
          <cell r="J516">
            <v>3.0255107086520172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1.8926332534308299</v>
          </cell>
          <cell r="J517">
            <v>8.6676442406111143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4.6920687888740702E-2</v>
          </cell>
          <cell r="J518">
            <v>0.10048529846632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4.6920687888740702E-2</v>
          </cell>
          <cell r="J519">
            <v>0.13453721463048901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1.1714396929629586E-5</v>
          </cell>
          <cell r="G520">
            <v>1.1607578815800561E-5</v>
          </cell>
          <cell r="H520">
            <v>1.3540013880297401E-5</v>
          </cell>
          <cell r="I520">
            <v>1.6294934252184855E-5</v>
          </cell>
          <cell r="J520">
            <v>8.7428787574001787E-6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2.9285992324073914E-4</v>
          </cell>
          <cell r="G521">
            <v>2.9018947039501341E-4</v>
          </cell>
          <cell r="H521">
            <v>3.3850034700743466E-4</v>
          </cell>
          <cell r="I521">
            <v>4.0737335630462116E-4</v>
          </cell>
          <cell r="J521">
            <v>2.1857196893500415E-4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3.5143190788888749E-5</v>
          </cell>
          <cell r="G522">
            <v>3.4822736447401623E-5</v>
          </cell>
          <cell r="H522">
            <v>4.0620041640892205E-5</v>
          </cell>
          <cell r="I522">
            <v>4.888480275655453E-5</v>
          </cell>
          <cell r="J522">
            <v>2.6228636272200475E-5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3.9536089637499819E-4</v>
          </cell>
          <cell r="G523">
            <v>3.9175578503326851E-4</v>
          </cell>
          <cell r="H523">
            <v>4.569754684600368E-4</v>
          </cell>
          <cell r="I523">
            <v>5.4995403101123889E-4</v>
          </cell>
          <cell r="J523">
            <v>2.9507215806225573E-4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1.3235812894681E-6</v>
          </cell>
          <cell r="F524">
            <v>4.0798265342458703E-5</v>
          </cell>
          <cell r="G524">
            <v>1.6343795410395299E-6</v>
          </cell>
          <cell r="H524">
            <v>7.0914325453565496E-7</v>
          </cell>
          <cell r="I524">
            <v>7.0828962431920999E-6</v>
          </cell>
          <cell r="J524">
            <v>5.2823666791066003E-6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1.3235812894681E-6</v>
          </cell>
          <cell r="F525">
            <v>4.2033776094681958E-5</v>
          </cell>
          <cell r="G525">
            <v>4.3471902599830242E-5</v>
          </cell>
          <cell r="H525">
            <v>4.3728466586237608E-5</v>
          </cell>
          <cell r="I525">
            <v>4.7502816596462284E-5</v>
          </cell>
          <cell r="J525">
            <v>2.6586973951093968E-5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4514.4833536305996</v>
          </cell>
          <cell r="F526">
            <v>3846.52684304173</v>
          </cell>
          <cell r="G526">
            <v>3553.0930143365799</v>
          </cell>
          <cell r="H526">
            <v>1565.8512776851801</v>
          </cell>
          <cell r="I526">
            <v>222.72950551917199</v>
          </cell>
          <cell r="J526">
            <v>2.2768762088806101E-4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60.231834741747292</v>
          </cell>
          <cell r="F527">
            <v>51.320018480843956</v>
          </cell>
          <cell r="G527">
            <v>47.405635052121312</v>
          </cell>
          <cell r="H527">
            <v>20.892001288986766</v>
          </cell>
          <cell r="I527">
            <v>2.9725266576269971</v>
          </cell>
          <cell r="J527">
            <v>0.17176830243241648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61.254862328773363</v>
          </cell>
          <cell r="F528">
            <v>52.191680366916337</v>
          </cell>
          <cell r="G528">
            <v>48.210217290862751</v>
          </cell>
          <cell r="H528">
            <v>21.246285993014613</v>
          </cell>
          <cell r="I528">
            <v>3.0221099799073516</v>
          </cell>
          <cell r="J528">
            <v>3.0893842725652693E-6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5.9495177118056009E-4</v>
          </cell>
          <cell r="H529">
            <v>5.6284629762675157E-4</v>
          </cell>
          <cell r="I529">
            <v>9.0513081346629809E-4</v>
          </cell>
          <cell r="J529">
            <v>0.17468281486456086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71.694108044440583</v>
          </cell>
          <cell r="F530">
            <v>35.900448721567876</v>
          </cell>
          <cell r="G530">
            <v>50.982217153771721</v>
          </cell>
          <cell r="H530">
            <v>25.81930012086486</v>
          </cell>
          <cell r="I530">
            <v>14.84345941293849</v>
          </cell>
          <cell r="J530">
            <v>17.26924040218266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71.694108044440583</v>
          </cell>
          <cell r="F531">
            <v>35.900448721567876</v>
          </cell>
          <cell r="G531">
            <v>50.982217153771721</v>
          </cell>
          <cell r="H531">
            <v>25.81930012086486</v>
          </cell>
          <cell r="I531">
            <v>14.84345941293849</v>
          </cell>
          <cell r="J531">
            <v>17.26924040218266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2.8718488053752501E-6</v>
          </cell>
          <cell r="F532">
            <v>3.22447443614665E-6</v>
          </cell>
          <cell r="G532">
            <v>4.6901784332423696E-3</v>
          </cell>
          <cell r="H532">
            <v>1.59503272233824E-6</v>
          </cell>
          <cell r="I532">
            <v>1.7513153652909601E-6</v>
          </cell>
          <cell r="J532">
            <v>2.49682264484335E-6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3.749997282622366</v>
          </cell>
          <cell r="F533">
            <v>3.7499951404902547</v>
          </cell>
          <cell r="G533">
            <v>3.7499944282410627</v>
          </cell>
          <cell r="H533">
            <v>3.7499966462299321</v>
          </cell>
          <cell r="I533">
            <v>2.399999926092196</v>
          </cell>
          <cell r="J533">
            <v>2.4000000138659066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0.25797925845966957</v>
          </cell>
          <cell r="J534">
            <v>475.77398809597668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-0.25797925845966901</v>
          </cell>
          <cell r="J535">
            <v>-475.77398809597702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5.7177060810873197E-4</v>
          </cell>
          <cell r="J536">
            <v>1.0544785038929034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3.2747566673794232E-3</v>
          </cell>
          <cell r="J537">
            <v>3.9859804654083688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8.4137599637217793E-5</v>
          </cell>
          <cell r="J538">
            <v>4.36025825535548E-2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8.4137599637217793E-5</v>
          </cell>
          <cell r="J539">
            <v>4.3686697031884665E-2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3.9601427067775474E-2</v>
          </cell>
          <cell r="F540">
            <v>1.8403553739466068E-4</v>
          </cell>
          <cell r="G540">
            <v>2.6854969257485389E-3</v>
          </cell>
          <cell r="H540">
            <v>3.5454857055639222E-4</v>
          </cell>
          <cell r="I540">
            <v>1.8966182865099853E-3</v>
          </cell>
          <cell r="J540">
            <v>1.665873710369286E-5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9.0453369978690201</v>
          </cell>
          <cell r="F541">
            <v>9.5868666347736206E-2</v>
          </cell>
          <cell r="G541">
            <v>0.72577427444575404</v>
          </cell>
          <cell r="H541">
            <v>9.4811898884084506E-2</v>
          </cell>
          <cell r="I541">
            <v>0.44579641507537199</v>
          </cell>
          <cell r="J541">
            <v>4.1218584460821798E-3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0.12273184528994588</v>
          </cell>
          <cell r="F542">
            <v>1.3007960155730846E-3</v>
          </cell>
          <cell r="G542">
            <v>9.8476835067266445E-3</v>
          </cell>
          <cell r="H542">
            <v>1.2864572440174291E-3</v>
          </cell>
          <cell r="I542">
            <v>6.0487980335871367E-3</v>
          </cell>
          <cell r="J542">
            <v>5.592752301332668E-5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4.2019083661332201E-6</v>
          </cell>
          <cell r="G543">
            <v>9.8530539786978004E-6</v>
          </cell>
          <cell r="H543">
            <v>1.03804301192261E-5</v>
          </cell>
          <cell r="I543">
            <v>8.2301560556450003E-6</v>
          </cell>
          <cell r="J543">
            <v>2.66781876909006E-5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1.3874213121936999E-2</v>
          </cell>
          <cell r="F544">
            <v>1.9482535609231244E-3</v>
          </cell>
          <cell r="G544">
            <v>1.9260487690769268E-3</v>
          </cell>
          <cell r="H544">
            <v>1.9227615215302481E-3</v>
          </cell>
          <cell r="I544">
            <v>2.3790760327730221E-3</v>
          </cell>
          <cell r="J544">
            <v>4.9559627278734843E-4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8.5743709335386651</v>
          </cell>
          <cell r="F545">
            <v>8.2961696869963344</v>
          </cell>
          <cell r="G545">
            <v>9.6268647419586877</v>
          </cell>
          <cell r="H545">
            <v>8.2577023928465803</v>
          </cell>
          <cell r="I545">
            <v>4.3379800640330117</v>
          </cell>
          <cell r="J545">
            <v>1.7904058940792751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8.5743709335386651</v>
          </cell>
          <cell r="F546">
            <v>8.2961696869963344</v>
          </cell>
          <cell r="G546">
            <v>9.6268647419586877</v>
          </cell>
          <cell r="H546">
            <v>8.2577023928465803</v>
          </cell>
          <cell r="I546">
            <v>4.3379800640330117</v>
          </cell>
          <cell r="J546">
            <v>1.7904058940792751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5.4932898602473861E-4</v>
          </cell>
          <cell r="I547">
            <v>1.1229702499674097E-3</v>
          </cell>
          <cell r="J547">
            <v>3.8661029051496925E-4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8.7792023565043398E-4</v>
          </cell>
          <cell r="I548">
            <v>1.7173380176368274E-3</v>
          </cell>
          <cell r="J548">
            <v>5.6777434906293194E-4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1.9616354997868358E-3</v>
          </cell>
          <cell r="I549">
            <v>4.2936029119928099E-3</v>
          </cell>
          <cell r="J549">
            <v>1.253378629230845E-3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7.5007811201445205E-5</v>
          </cell>
          <cell r="I550">
            <v>5.1816882995183603E-6</v>
          </cell>
          <cell r="J550">
            <v>1.8500660024912399E-5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7.5007811201445205E-5</v>
          </cell>
          <cell r="I551">
            <v>1.2424318088179016E-4</v>
          </cell>
          <cell r="J551">
            <v>5.0917160808978289E-5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32.820800279799705</v>
          </cell>
          <cell r="F552">
            <v>32.820774353576965</v>
          </cell>
          <cell r="G552">
            <v>31.398149392947143</v>
          </cell>
          <cell r="H552">
            <v>32.820794799643053</v>
          </cell>
          <cell r="I552">
            <v>32.820793630123951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98.945500250180643</v>
          </cell>
          <cell r="F553">
            <v>98.945422089896411</v>
          </cell>
          <cell r="G553">
            <v>94.656607155528448</v>
          </cell>
          <cell r="H553">
            <v>98.945483729046572</v>
          </cell>
          <cell r="I553">
            <v>98.945480203274769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1.22</v>
          </cell>
          <cell r="G554">
            <v>1.22</v>
          </cell>
          <cell r="H554">
            <v>1.22</v>
          </cell>
          <cell r="I554">
            <v>1.22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1.310631780574152E-3</v>
          </cell>
          <cell r="I555">
            <v>8.0313455787532216E-4</v>
          </cell>
          <cell r="J555">
            <v>9.5521560593326269E-4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1.310631780574152E-3</v>
          </cell>
          <cell r="I556">
            <v>8.0313455787532216E-4</v>
          </cell>
          <cell r="J556">
            <v>9.5521560593326269E-4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9.7162774668565802E-5</v>
          </cell>
          <cell r="I557">
            <v>9.4341320363143901E-5</v>
          </cell>
          <cell r="J557">
            <v>5.5823920593855701E-5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9.7162774668565802E-5</v>
          </cell>
          <cell r="I558">
            <v>1.12194921672637E-4</v>
          </cell>
          <cell r="J558">
            <v>8.81378272641472E-5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8.222790847770211E-4</v>
          </cell>
          <cell r="G559">
            <v>4.3857899090255434E-3</v>
          </cell>
          <cell r="H559">
            <v>7.7484117424957524E-4</v>
          </cell>
          <cell r="I559">
            <v>3.9557991126638353E-2</v>
          </cell>
          <cell r="J559">
            <v>1.4317297670901291E-2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0.15676121376732299</v>
          </cell>
          <cell r="G560">
            <v>0.78100674266447101</v>
          </cell>
          <cell r="H560">
            <v>0.11940989907590201</v>
          </cell>
          <cell r="I560">
            <v>5.8641612474455096</v>
          </cell>
          <cell r="J560">
            <v>1.9289465806192001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2.7794541448106953E-3</v>
          </cell>
          <cell r="G561">
            <v>1.3847637281284936E-2</v>
          </cell>
          <cell r="H561">
            <v>2.1171967921259317E-3</v>
          </cell>
          <cell r="I561">
            <v>0.10397449020293469</v>
          </cell>
          <cell r="J561">
            <v>3.4201180507432649E-2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0.25000026415614302</v>
          </cell>
          <cell r="G562">
            <v>0.11060189815445957</v>
          </cell>
          <cell r="H562">
            <v>0.1105976033244057</v>
          </cell>
          <cell r="I562">
            <v>0.11060925191533048</v>
          </cell>
          <cell r="J562">
            <v>3.5726788233336679E-2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0.25000026415614302</v>
          </cell>
          <cell r="G563">
            <v>1.8574003285723901E-6</v>
          </cell>
          <cell r="H563">
            <v>7.6874641926676206E-6</v>
          </cell>
          <cell r="I563">
            <v>7.6439922081018105E-6</v>
          </cell>
          <cell r="J563">
            <v>1.63007328750127E-2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0.25000026415614302</v>
          </cell>
          <cell r="G564">
            <v>0.11060189815445901</v>
          </cell>
          <cell r="H564">
            <v>0.11059760332440599</v>
          </cell>
          <cell r="I564">
            <v>0.11060925191533</v>
          </cell>
          <cell r="J564">
            <v>3.5726788233336602E-2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1.4457190795246864E-3</v>
          </cell>
          <cell r="I565">
            <v>8.527423267479839E-4</v>
          </cell>
          <cell r="J565">
            <v>9.4063439983143823E-4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1.456733128438041E-3</v>
          </cell>
          <cell r="I566">
            <v>8.5923884867282322E-4</v>
          </cell>
          <cell r="J566">
            <v>9.4780051767276484E-4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1.3011811645633601E-4</v>
          </cell>
          <cell r="I567">
            <v>1.1808752082826799E-6</v>
          </cell>
          <cell r="J567">
            <v>7.7244652158872495E-7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1.3011811645633601E-4</v>
          </cell>
          <cell r="I568">
            <v>1.4548328337910901E-4</v>
          </cell>
          <cell r="J568">
            <v>1.4625572990069701E-4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13.722998193458366</v>
          </cell>
          <cell r="F569">
            <v>14.667791674</v>
          </cell>
          <cell r="G569">
            <v>16.224144353664347</v>
          </cell>
          <cell r="H569">
            <v>12.993743675685657</v>
          </cell>
          <cell r="I569">
            <v>7.5357716908968042</v>
          </cell>
          <cell r="J569">
            <v>3.326249552001578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13.722998193458366</v>
          </cell>
          <cell r="F570">
            <v>14.667791674</v>
          </cell>
          <cell r="G570">
            <v>16.224144353664347</v>
          </cell>
          <cell r="H570">
            <v>12.993743675685657</v>
          </cell>
          <cell r="I570">
            <v>7.5357716908968042</v>
          </cell>
          <cell r="J570">
            <v>3.326249552001578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1.9820402976777101E-2</v>
          </cell>
          <cell r="I571">
            <v>0.59868660722695499</v>
          </cell>
          <cell r="J571">
            <v>5.6293707442140803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2.1085535081677803E-4</v>
          </cell>
          <cell r="I572">
            <v>6.4751565675255788E-3</v>
          </cell>
          <cell r="J572">
            <v>6.1883153571147653E-2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6.3009878656403244E-5</v>
          </cell>
          <cell r="I573">
            <v>1.910287026322795E-3</v>
          </cell>
          <cell r="J573">
            <v>1.7965605331811092E-2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3.5142558469462989E-4</v>
          </cell>
          <cell r="I574">
            <v>1.0615010766435369E-2</v>
          </cell>
          <cell r="J574">
            <v>9.9811538017980039E-2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3.3983661842030599E-5</v>
          </cell>
          <cell r="I575">
            <v>2.63234950752632E-4</v>
          </cell>
          <cell r="J575">
            <v>3.4013034878504901E-3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3.3983661842030599E-5</v>
          </cell>
          <cell r="I576">
            <v>3.8008451954531008E-4</v>
          </cell>
          <cell r="J576">
            <v>3.6319070474300757E-3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1.8014275676150734E-3</v>
          </cell>
          <cell r="F577">
            <v>1.2118199101121054E-4</v>
          </cell>
          <cell r="G577">
            <v>1.0626806845852896E-3</v>
          </cell>
          <cell r="H577">
            <v>2.6284231223316185E-4</v>
          </cell>
          <cell r="I577">
            <v>7.1088459788316372E-4</v>
          </cell>
          <cell r="J577">
            <v>2.2962824968938383E-6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9.2644846334489373E-3</v>
          </cell>
          <cell r="F578">
            <v>6.2322166805765409E-4</v>
          </cell>
          <cell r="G578">
            <v>5.4652149492957674E-3</v>
          </cell>
          <cell r="H578">
            <v>1.3517604629134036E-3</v>
          </cell>
          <cell r="I578">
            <v>3.6559779319705579E-3</v>
          </cell>
          <cell r="J578">
            <v>1.6467506001828454E-5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1.7546078461101999</v>
          </cell>
          <cell r="F579">
            <v>0.13721018788245101</v>
          </cell>
          <cell r="G579">
            <v>0.84508069406200403</v>
          </cell>
          <cell r="H579">
            <v>0.19382431872537501</v>
          </cell>
          <cell r="I579">
            <v>0.49089425174102902</v>
          </cell>
          <cell r="J579">
            <v>2.6388454925846301E-3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2.3807433461468085E-2</v>
          </cell>
          <cell r="F580">
            <v>1.8617393199789895E-3</v>
          </cell>
          <cell r="G580">
            <v>1.14664951704478E-2</v>
          </cell>
          <cell r="H580">
            <v>2.6299093449847375E-3</v>
          </cell>
          <cell r="I580">
            <v>6.6607089788470724E-3</v>
          </cell>
          <cell r="J580">
            <v>3.5805230564241934E-5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3.8304122763749796E-6</v>
          </cell>
          <cell r="G581">
            <v>3.5933644801925701E-6</v>
          </cell>
          <cell r="H581">
            <v>6.7349991393762904E-6</v>
          </cell>
          <cell r="I581">
            <v>6.1533401059716303E-5</v>
          </cell>
          <cell r="J581">
            <v>3.1612155635593797E-5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2.4522776369963108E-3</v>
          </cell>
          <cell r="F582">
            <v>8.5109432385128449E-4</v>
          </cell>
          <cell r="G582">
            <v>7.6738043649116766E-4</v>
          </cell>
          <cell r="H582">
            <v>5.5833402214932205E-4</v>
          </cell>
          <cell r="I582">
            <v>2.2190822942678583E-4</v>
          </cell>
          <cell r="J582">
            <v>1.0397755666687844E-4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1.2097132449590178E-3</v>
          </cell>
          <cell r="J583">
            <v>0.19100354741535408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1.4689375117359436E-3</v>
          </cell>
          <cell r="J584">
            <v>0.2410282860241369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2.8802696308548015E-3</v>
          </cell>
          <cell r="J585">
            <v>0.45477035098893875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2.0452342759069101E-4</v>
          </cell>
          <cell r="J586">
            <v>1.3357811478746401E-2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2.0452342759069101E-4</v>
          </cell>
          <cell r="J587">
            <v>1.3562209522952158E-2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4.8498359267292228</v>
          </cell>
          <cell r="G588">
            <v>9.5944986244111021</v>
          </cell>
          <cell r="H588">
            <v>17.736887719519139</v>
          </cell>
          <cell r="I588">
            <v>33.151371944662564</v>
          </cell>
          <cell r="J588">
            <v>51.000303784876223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4.8498359267292228</v>
          </cell>
          <cell r="G589">
            <v>9.5944986244111021</v>
          </cell>
          <cell r="H589">
            <v>17.736887719519139</v>
          </cell>
          <cell r="I589">
            <v>33.151371944662564</v>
          </cell>
          <cell r="J589">
            <v>51.000303784876223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4.8498359267292201</v>
          </cell>
          <cell r="G590">
            <v>9.5944986244111004</v>
          </cell>
          <cell r="H590">
            <v>17.736887719519199</v>
          </cell>
          <cell r="I590">
            <v>33.1513719446626</v>
          </cell>
          <cell r="J590">
            <v>51.000303784876202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6.8502516835257104E-8</v>
          </cell>
          <cell r="G591">
            <v>1.2679632613379599</v>
          </cell>
          <cell r="H591">
            <v>2.1224174731410499</v>
          </cell>
          <cell r="I591">
            <v>3.1721059812856498</v>
          </cell>
          <cell r="J591">
            <v>8.9923435876704598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1.6529270830895668</v>
          </cell>
          <cell r="G592">
            <v>3.0611843298404802</v>
          </cell>
          <cell r="H592">
            <v>5.1146859061774101</v>
          </cell>
          <cell r="I592">
            <v>9.5596733590924874</v>
          </cell>
          <cell r="J592">
            <v>14.7066684691757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1.3772038935458632E-5</v>
          </cell>
          <cell r="J593">
            <v>2.1217409050062452E-5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2.0864604524908258E-2</v>
          </cell>
          <cell r="J594">
            <v>3.2895728581693678E-2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-2.0864604524908299E-2</v>
          </cell>
          <cell r="J595">
            <v>-3.2895728581693699E-2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3.2585877246049715E-4</v>
          </cell>
          <cell r="J596">
            <v>5.1496717411085721E-4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4.0178504896011719E-5</v>
          </cell>
          <cell r="J597">
            <v>6.2633581191233738E-5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4.8021100668349282E-4</v>
          </cell>
          <cell r="J598">
            <v>7.7004687531859032E-4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2.57689269349217E-5</v>
          </cell>
          <cell r="J599">
            <v>1.24206504796995E-6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2.57689269349217E-5</v>
          </cell>
          <cell r="J600">
            <v>2.7010991982891701E-5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0.111118809255303</v>
          </cell>
          <cell r="G601">
            <v>0.37062138712058301</v>
          </cell>
          <cell r="H601">
            <v>0.15610950864574</v>
          </cell>
          <cell r="I601">
            <v>0.59070884409978996</v>
          </cell>
          <cell r="J601">
            <v>0.314714834880302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1.1610732459458968E-3</v>
          </cell>
          <cell r="G602">
            <v>2.3178493522800318E-3</v>
          </cell>
          <cell r="H602">
            <v>1.6445282433808089E-3</v>
          </cell>
          <cell r="I602">
            <v>5.8217885462039688E-3</v>
          </cell>
          <cell r="J602">
            <v>3.4226110100523902E-3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4.8721768091424173E-4</v>
          </cell>
          <cell r="G603">
            <v>9.8776443648461139E-4</v>
          </cell>
          <cell r="H603">
            <v>7.1948110647910158E-4</v>
          </cell>
          <cell r="I603">
            <v>2.5925152119814529E-3</v>
          </cell>
          <cell r="J603">
            <v>1.5754876078018923E-3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1.970191653462826E-3</v>
          </cell>
          <cell r="G604">
            <v>6.5713011900812544E-3</v>
          </cell>
          <cell r="H604">
            <v>2.7678990894634786E-3</v>
          </cell>
          <cell r="I604">
            <v>1.0473561065599104E-2</v>
          </cell>
          <cell r="J604">
            <v>5.5800502638351382E-3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5.9655281270663103E-5</v>
          </cell>
          <cell r="G605">
            <v>2.8144946595412901E-5</v>
          </cell>
          <cell r="H605">
            <v>3.7436840594101599E-7</v>
          </cell>
          <cell r="I605">
            <v>1.8443455494616E-5</v>
          </cell>
          <cell r="J605">
            <v>9.5646374048846804E-8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5.9655281270663103E-5</v>
          </cell>
          <cell r="G606">
            <v>8.7787715565082304E-5</v>
          </cell>
          <cell r="H606">
            <v>8.8128693298623352E-5</v>
          </cell>
          <cell r="I606">
            <v>2.3056353315584576E-4</v>
          </cell>
          <cell r="J606">
            <v>1.4024663091573731E-4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20.224800446357463</v>
          </cell>
          <cell r="F607">
            <v>20.224769248127522</v>
          </cell>
          <cell r="G607">
            <v>12.760322107312071</v>
          </cell>
          <cell r="H607">
            <v>7.3992014905195571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60.972096370744801</v>
          </cell>
          <cell r="F608">
            <v>60.972002316838726</v>
          </cell>
          <cell r="G608">
            <v>38.468789410918582</v>
          </cell>
          <cell r="H608">
            <v>22.306515584324078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0.73</v>
          </cell>
          <cell r="G609">
            <v>0.48968299166234502</v>
          </cell>
          <cell r="H609">
            <v>0.26706931591377198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8.0818492979912344E-3</v>
          </cell>
          <cell r="I610">
            <v>4.8134195906560625E-3</v>
          </cell>
          <cell r="J610">
            <v>2.4732604428588777E-3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3.0381766805411443E-3</v>
          </cell>
          <cell r="I611">
            <v>1.8094892164873698E-3</v>
          </cell>
          <cell r="J611">
            <v>9.297627220376881E-4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1.1799385664622856E-2</v>
          </cell>
          <cell r="I612">
            <v>7.5644165729203527E-3</v>
          </cell>
          <cell r="J612">
            <v>3.4111019160951886E-3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2.25571631402516E-4</v>
          </cell>
          <cell r="I613">
            <v>1.79067984470468E-6</v>
          </cell>
          <cell r="J613">
            <v>6.8910067264617002E-5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2.25571631402516E-4</v>
          </cell>
          <cell r="I614">
            <v>1.5647636191951425E-4</v>
          </cell>
          <cell r="J614">
            <v>7.0592460971749749E-5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9.7039791700845321E-5</v>
          </cell>
          <cell r="F615">
            <v>3.8325169768969051E-4</v>
          </cell>
          <cell r="G615">
            <v>3.3142007095961572E-3</v>
          </cell>
          <cell r="H615">
            <v>5.734322125101653E-4</v>
          </cell>
          <cell r="I615">
            <v>0.20554975259516614</v>
          </cell>
          <cell r="J615">
            <v>5.0144161165306629E-2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9.7039791700845131E-5</v>
          </cell>
          <cell r="F616">
            <v>3.8350719882148293E-4</v>
          </cell>
          <cell r="G616">
            <v>3.3176530020019835E-3</v>
          </cell>
          <cell r="H616">
            <v>5.734322125101653E-4</v>
          </cell>
          <cell r="I616">
            <v>0.20554975259516536</v>
          </cell>
          <cell r="J616">
            <v>5.0144161165306581E-2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7.6089642707432315E-5</v>
          </cell>
          <cell r="F617">
            <v>5.0626043086054908E-4</v>
          </cell>
          <cell r="G617">
            <v>4.2822701746453983E-3</v>
          </cell>
          <cell r="H617">
            <v>7.1822653111869382E-4</v>
          </cell>
          <cell r="I617">
            <v>0.2418247112565598</v>
          </cell>
          <cell r="J617">
            <v>5.5717162219539908E-2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7.6089642707432315E-5</v>
          </cell>
          <cell r="F618">
            <v>5.0626043086054908E-4</v>
          </cell>
          <cell r="G618">
            <v>4.2822701746453983E-3</v>
          </cell>
          <cell r="H618">
            <v>7.1822653111869382E-4</v>
          </cell>
          <cell r="I618">
            <v>0.2418247112565598</v>
          </cell>
          <cell r="J618">
            <v>5.5717162219539908E-2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4.1933194945392204E-3</v>
          </cell>
          <cell r="F619">
            <v>1.3519765681622E-4</v>
          </cell>
          <cell r="G619">
            <v>1.00028932590234E-4</v>
          </cell>
          <cell r="H619">
            <v>4.7484390869789797E-5</v>
          </cell>
          <cell r="I619">
            <v>9.0363440421186592E-3</v>
          </cell>
          <cell r="J619">
            <v>6.3896930665742601E-3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4.1933194945392204E-3</v>
          </cell>
          <cell r="F620">
            <v>4.3211271476020349E-3</v>
          </cell>
          <cell r="G620">
            <v>4.3962882134011673E-3</v>
          </cell>
          <cell r="H620">
            <v>4.3666089376067528E-3</v>
          </cell>
          <cell r="I620">
            <v>1.312551780083897E-2</v>
          </cell>
          <cell r="J620">
            <v>1.4647234410966015E-2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0.39014874990206017</v>
          </cell>
          <cell r="F621">
            <v>0.27810639114744401</v>
          </cell>
          <cell r="G621">
            <v>4.7595501070132944E-4</v>
          </cell>
          <cell r="H621">
            <v>3.2278511193319288E-4</v>
          </cell>
          <cell r="I621">
            <v>2.464990207724582E-4</v>
          </cell>
          <cell r="J621">
            <v>6.4936838398666481E-5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0.15215801246180327</v>
          </cell>
          <cell r="F622">
            <v>0.10846149254750301</v>
          </cell>
          <cell r="G622">
            <v>1.8562245417351819E-4</v>
          </cell>
          <cell r="H622">
            <v>1.2588619365394511E-4</v>
          </cell>
          <cell r="I622">
            <v>9.6134618101258569E-5</v>
          </cell>
          <cell r="J622">
            <v>2.5325366975479866E-5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1.1117288628459205</v>
          </cell>
          <cell r="F623">
            <v>0.79246416157464195</v>
          </cell>
          <cell r="G623">
            <v>1.356233802993439E-3</v>
          </cell>
          <cell r="H623">
            <v>9.1977617645363325E-4</v>
          </cell>
          <cell r="I623">
            <v>7.0239895969111902E-4</v>
          </cell>
          <cell r="J623">
            <v>1.8503752101699995E-4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2.7115338118193173E-2</v>
          </cell>
          <cell r="F624">
            <v>1.9328394184747352E-2</v>
          </cell>
          <cell r="G624">
            <v>3.3078873243742396E-5</v>
          </cell>
          <cell r="H624">
            <v>2.2433565279356917E-5</v>
          </cell>
          <cell r="I624">
            <v>1.7131681943685829E-5</v>
          </cell>
          <cell r="J624">
            <v>4.5131102687073187E-6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5.3821457126205803E-7</v>
          </cell>
          <cell r="F625">
            <v>2.9525189980713198E-7</v>
          </cell>
          <cell r="G625">
            <v>4.2093696420305398E-7</v>
          </cell>
          <cell r="H625">
            <v>4.7744082762908401E-7</v>
          </cell>
          <cell r="I625">
            <v>2.2337843395218601E-6</v>
          </cell>
          <cell r="J625">
            <v>6.9920915396203903E-7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2.0237053736394763E-2</v>
          </cell>
          <cell r="F626">
            <v>1.4423095665014367E-2</v>
          </cell>
          <cell r="G626">
            <v>9.8304974514969168E-5</v>
          </cell>
          <cell r="H626">
            <v>6.3384087839998826E-5</v>
          </cell>
          <cell r="I626">
            <v>3.5074300451244643E-5</v>
          </cell>
          <cell r="J626">
            <v>2.8311722491331241E-5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1.6636044331080234E-3</v>
          </cell>
          <cell r="F627">
            <v>1.6564492387429611E-3</v>
          </cell>
          <cell r="G627">
            <v>1.6773364994814403E-3</v>
          </cell>
          <cell r="H627">
            <v>0.10705641530635664</v>
          </cell>
          <cell r="I627">
            <v>0.10913095169802152</v>
          </cell>
          <cell r="J627">
            <v>5.2433665292404029E-2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1.6636044331080251E-3</v>
          </cell>
          <cell r="F628">
            <v>1.6564492387429624E-3</v>
          </cell>
          <cell r="G628">
            <v>1.6773364994814416E-3</v>
          </cell>
          <cell r="H628">
            <v>0.10705641530635671</v>
          </cell>
          <cell r="I628">
            <v>0.10913095169802159</v>
          </cell>
          <cell r="J628">
            <v>5.2433665292404071E-2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1.8428940030170374E-3</v>
          </cell>
          <cell r="F629">
            <v>1.8348078334447498E-3</v>
          </cell>
          <cell r="G629">
            <v>1.8553886900435606E-3</v>
          </cell>
          <cell r="H629">
            <v>0.11839029602134125</v>
          </cell>
          <cell r="I629">
            <v>0.12068444678560271</v>
          </cell>
          <cell r="J629">
            <v>5.7984794664000763E-2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1.8428940030170374E-3</v>
          </cell>
          <cell r="F630">
            <v>1.8348078334447498E-3</v>
          </cell>
          <cell r="G630">
            <v>1.8553886900435606E-3</v>
          </cell>
          <cell r="H630">
            <v>0.11839029602134125</v>
          </cell>
          <cell r="I630">
            <v>0.12068444678560271</v>
          </cell>
          <cell r="J630">
            <v>5.7984794664000763E-2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6.8014950127865705E-4</v>
          </cell>
          <cell r="F631">
            <v>1.09471337510029E-6</v>
          </cell>
          <cell r="G631">
            <v>5.5004272219493201E-6</v>
          </cell>
          <cell r="H631">
            <v>4.3346255850938403E-2</v>
          </cell>
          <cell r="I631">
            <v>4.2745793226742601E-2</v>
          </cell>
          <cell r="J631">
            <v>4.9092098482522897E-2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6.8284346484673167E-4</v>
          </cell>
          <cell r="F632">
            <v>6.8347009974899524E-4</v>
          </cell>
          <cell r="G632">
            <v>6.8846756720585228E-4</v>
          </cell>
          <cell r="H632">
            <v>4.3848965443662319E-2</v>
          </cell>
          <cell r="I632">
            <v>5.8854350755747055E-2</v>
          </cell>
          <cell r="J632">
            <v>7.2008570155005627E-2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6.2295570401311942</v>
          </cell>
          <cell r="F633">
            <v>9.6662348462639241E-4</v>
          </cell>
          <cell r="G633">
            <v>1.0838486885154177E-3</v>
          </cell>
          <cell r="H633">
            <v>2.1214917678608218E-4</v>
          </cell>
          <cell r="I633">
            <v>1.9332860212298189E-4</v>
          </cell>
          <cell r="J633">
            <v>1.2935574681965773E-4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6.2295570401311942</v>
          </cell>
          <cell r="F634">
            <v>9.6662348462639241E-4</v>
          </cell>
          <cell r="G634">
            <v>1.0838486885154177E-3</v>
          </cell>
          <cell r="H634">
            <v>2.1214917678608218E-4</v>
          </cell>
          <cell r="I634">
            <v>1.9332860212298189E-4</v>
          </cell>
          <cell r="J634">
            <v>1.2935574681965773E-4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5.6820404146192705E-7</v>
          </cell>
          <cell r="F635">
            <v>5.1625857683346095E-7</v>
          </cell>
          <cell r="G635">
            <v>6.5559434241623902E-7</v>
          </cell>
          <cell r="H635">
            <v>6.8599925230578696E-7</v>
          </cell>
          <cell r="I635">
            <v>7.8694799536210105E-7</v>
          </cell>
          <cell r="J635">
            <v>1.6135587308105501E-6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0.23502474553689701</v>
          </cell>
          <cell r="F636">
            <v>5.8249661255005414E-4</v>
          </cell>
          <cell r="G636">
            <v>5.7632670186991142E-4</v>
          </cell>
          <cell r="H636">
            <v>5.68923100516594E-4</v>
          </cell>
          <cell r="I636">
            <v>5.6645339405303474E-4</v>
          </cell>
          <cell r="J636">
            <v>5.6738998033534216E-4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46.39847637245709</v>
          </cell>
          <cell r="F637">
            <v>17.912514219815268</v>
          </cell>
          <cell r="G637">
            <v>15.04584803272096</v>
          </cell>
          <cell r="H637">
            <v>8.9935035238632786</v>
          </cell>
          <cell r="I637">
            <v>11.282104556099855</v>
          </cell>
          <cell r="J637">
            <v>5.9578342420837753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46.39847637245709</v>
          </cell>
          <cell r="F638">
            <v>17.912514219815268</v>
          </cell>
          <cell r="G638">
            <v>15.04584803272096</v>
          </cell>
          <cell r="H638">
            <v>8.9935035238632786</v>
          </cell>
          <cell r="I638">
            <v>11.282104556099855</v>
          </cell>
          <cell r="J638">
            <v>5.9578342420837753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1.5465691397915901E-6</v>
          </cell>
          <cell r="F639">
            <v>1.3428156618450799E-6</v>
          </cell>
          <cell r="G639">
            <v>1.69840206903902E-6</v>
          </cell>
          <cell r="H639">
            <v>1.8959805654972601E-6</v>
          </cell>
          <cell r="I639">
            <v>1.78028742246088E-6</v>
          </cell>
          <cell r="J639">
            <v>2.5685359377885401E-6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1.8226407348710802</v>
          </cell>
          <cell r="F640">
            <v>1.1556576182598102</v>
          </cell>
          <cell r="G640">
            <v>1.1556498609734902</v>
          </cell>
          <cell r="H640">
            <v>1.1556474272558876</v>
          </cell>
          <cell r="I640">
            <v>1.1556463476514063</v>
          </cell>
          <cell r="J640">
            <v>1.1556438332721992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9.7042185403587811E-5</v>
          </cell>
          <cell r="F641">
            <v>1.0257581761719054E-4</v>
          </cell>
          <cell r="G641">
            <v>4.438064808436925E-5</v>
          </cell>
          <cell r="H641">
            <v>9.4020853633810684E-4</v>
          </cell>
          <cell r="I641">
            <v>4.7147762167317163E-3</v>
          </cell>
          <cell r="J641">
            <v>1.6591390763388825E-3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9.7042185403587553E-5</v>
          </cell>
          <cell r="F642">
            <v>1.0264420149560181E-4</v>
          </cell>
          <cell r="G642">
            <v>4.4426877926123738E-5</v>
          </cell>
          <cell r="H642">
            <v>9.4020853633810684E-4</v>
          </cell>
          <cell r="I642">
            <v>4.7147762167316989E-3</v>
          </cell>
          <cell r="J642">
            <v>1.6591390763388805E-3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7.6092834307002312E-5</v>
          </cell>
          <cell r="F643">
            <v>7.8344284799342496E-5</v>
          </cell>
          <cell r="G643">
            <v>3.5449059445170675E-5</v>
          </cell>
          <cell r="H643">
            <v>1.176697041114196E-3</v>
          </cell>
          <cell r="I643">
            <v>5.5482671721888898E-3</v>
          </cell>
          <cell r="J643">
            <v>1.8449154540269169E-3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7.6092834307002312E-5</v>
          </cell>
          <cell r="F644">
            <v>7.8344284799342496E-5</v>
          </cell>
          <cell r="G644">
            <v>3.5449059445170675E-5</v>
          </cell>
          <cell r="H644">
            <v>1.176697041114196E-3</v>
          </cell>
          <cell r="I644">
            <v>5.5482671721888898E-3</v>
          </cell>
          <cell r="J644">
            <v>1.8449154540269169E-3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3.0468996438876E-3</v>
          </cell>
          <cell r="F645">
            <v>7.6879109181905304E-5</v>
          </cell>
          <cell r="G645">
            <v>1.18178607087058E-4</v>
          </cell>
          <cell r="H645">
            <v>9.6906272347876602E-5</v>
          </cell>
          <cell r="I645">
            <v>2.8083706394118902E-4</v>
          </cell>
          <cell r="J645">
            <v>5.8342141364519599E-4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3.0468996438876E-3</v>
          </cell>
          <cell r="F646">
            <v>3.1146661727230137E-3</v>
          </cell>
          <cell r="G646">
            <v>3.2092094293027875E-3</v>
          </cell>
          <cell r="H646">
            <v>3.2684148609777313E-3</v>
          </cell>
          <cell r="I646">
            <v>4.1808308644790083E-3</v>
          </cell>
          <cell r="J646">
            <v>2.3947882295865357E-3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4.2185743157732797E-2</v>
          </cell>
          <cell r="I647">
            <v>3.0826301642085001</v>
          </cell>
          <cell r="J647">
            <v>11.3796883613453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3.1414915117460582E-4</v>
          </cell>
          <cell r="I648">
            <v>2.4048887805881911E-2</v>
          </cell>
          <cell r="J648">
            <v>9.0795385861797723E-2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3.518470493155586E-4</v>
          </cell>
          <cell r="I649">
            <v>2.5491821074234838E-2</v>
          </cell>
          <cell r="J649">
            <v>9.0795385861797723E-2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7.4797416946334721E-4</v>
          </cell>
          <cell r="I650">
            <v>5.4656563195186178E-2</v>
          </cell>
          <cell r="J650">
            <v>0.20176752413732851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3.8574637773245098E-5</v>
          </cell>
          <cell r="I651">
            <v>1.9296588131863101E-3</v>
          </cell>
          <cell r="J651">
            <v>5.9965674641329399E-3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3.8574637773245098E-5</v>
          </cell>
          <cell r="I652">
            <v>2.1376340686303534E-3</v>
          </cell>
          <cell r="J652">
            <v>8.0710714989935331E-3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12.753360393300385</v>
          </cell>
          <cell r="F653">
            <v>7.5843075427844671E-4</v>
          </cell>
          <cell r="G653">
            <v>7.0388289433131958E-4</v>
          </cell>
          <cell r="H653">
            <v>2.8495949801811199E-4</v>
          </cell>
          <cell r="I653">
            <v>1.0572944452442526E-3</v>
          </cell>
          <cell r="J653">
            <v>7.0234930317277866E-4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12.753360393300385</v>
          </cell>
          <cell r="F654">
            <v>7.5843075427844671E-4</v>
          </cell>
          <cell r="G654">
            <v>7.0388289433131958E-4</v>
          </cell>
          <cell r="H654">
            <v>2.8495949801811199E-4</v>
          </cell>
          <cell r="I654">
            <v>1.0572944452442526E-3</v>
          </cell>
          <cell r="J654">
            <v>7.0234930317277866E-4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1.3420554440189199E-6</v>
          </cell>
          <cell r="F655">
            <v>1.1090181187348301E-6</v>
          </cell>
          <cell r="G655">
            <v>1.3869588523792099E-6</v>
          </cell>
          <cell r="H655">
            <v>1.5917769608118E-6</v>
          </cell>
          <cell r="I655">
            <v>2.0772769023635701E-6</v>
          </cell>
          <cell r="J655">
            <v>3.0328213161093098E-6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1.299995172125707</v>
          </cell>
          <cell r="F656">
            <v>8.0566430587003524E-4</v>
          </cell>
          <cell r="G656">
            <v>8.0143141415001118E-4</v>
          </cell>
          <cell r="H656">
            <v>7.9863323169093725E-4</v>
          </cell>
          <cell r="I656">
            <v>7.9774583769598451E-4</v>
          </cell>
          <cell r="J656">
            <v>7.9963626178858327E-4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1.6649876756342974E-3</v>
          </cell>
          <cell r="F657">
            <v>1.6578205328001397E-3</v>
          </cell>
          <cell r="G657">
            <v>1.6788386133526117E-3</v>
          </cell>
          <cell r="H657">
            <v>0.11159940618341915</v>
          </cell>
          <cell r="I657">
            <v>0.1102460913821465</v>
          </cell>
          <cell r="J657">
            <v>5.2438754961570869E-2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1.6649876756342987E-3</v>
          </cell>
          <cell r="F658">
            <v>1.6578205328001416E-3</v>
          </cell>
          <cell r="G658">
            <v>1.6788386133526139E-3</v>
          </cell>
          <cell r="H658">
            <v>0.11159940618341924</v>
          </cell>
          <cell r="I658">
            <v>0.11024609138214658</v>
          </cell>
          <cell r="J658">
            <v>5.243875496157091E-2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1.8444236822312806E-3</v>
          </cell>
          <cell r="F659">
            <v>1.8363242992676585E-3</v>
          </cell>
          <cell r="G659">
            <v>1.8570498248939374E-3</v>
          </cell>
          <cell r="H659">
            <v>0.12341422970247864</v>
          </cell>
          <cell r="I659">
            <v>0.12191764074791944</v>
          </cell>
          <cell r="J659">
            <v>5.799042314993131E-2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1.8444236822312806E-3</v>
          </cell>
          <cell r="F660">
            <v>1.8363242992676585E-3</v>
          </cell>
          <cell r="G660">
            <v>1.8570498248939374E-3</v>
          </cell>
          <cell r="H660">
            <v>0.12341422970247864</v>
          </cell>
          <cell r="I660">
            <v>0.12191764074791944</v>
          </cell>
          <cell r="J660">
            <v>5.799042314993131E-2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6.8072751996428496E-4</v>
          </cell>
          <cell r="F661">
            <v>1.0988395375562799E-6</v>
          </cell>
          <cell r="G661">
            <v>5.6291297948194598E-6</v>
          </cell>
          <cell r="H661">
            <v>4.5206269623181999E-2</v>
          </cell>
          <cell r="I661">
            <v>4.4745538755910398E-2</v>
          </cell>
          <cell r="J661">
            <v>4.8381491065574003E-2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6.8342149193484196E-4</v>
          </cell>
          <cell r="F662">
            <v>6.8405267105387413E-4</v>
          </cell>
          <cell r="G662">
            <v>6.8918058297194086E-4</v>
          </cell>
          <cell r="H662">
            <v>4.5709538945841816E-2</v>
          </cell>
          <cell r="I662">
            <v>5.9441368084779379E-2</v>
          </cell>
          <cell r="J662">
            <v>7.1995112136887043E-2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1.9347975180490224</v>
          </cell>
          <cell r="F663">
            <v>1.8296083924308704</v>
          </cell>
          <cell r="G663">
            <v>2.5502949864161573</v>
          </cell>
          <cell r="H663">
            <v>2.3158643077623582</v>
          </cell>
          <cell r="I663">
            <v>1.3207484412296755</v>
          </cell>
          <cell r="J663">
            <v>4.0634928731635026E-4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0.23004213834565715</v>
          </cell>
          <cell r="F664">
            <v>0.22654704309691229</v>
          </cell>
          <cell r="G664">
            <v>0.33670699221493644</v>
          </cell>
          <cell r="H664">
            <v>0.34371067707724789</v>
          </cell>
          <cell r="I664">
            <v>0.26075780635625556</v>
          </cell>
          <cell r="J664">
            <v>1.1978763695081717E-4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344.47015066121998</v>
          </cell>
          <cell r="F665">
            <v>339.23817901349901</v>
          </cell>
          <cell r="G665">
            <v>504.19674794425299</v>
          </cell>
          <cell r="H665">
            <v>514.68430897758503</v>
          </cell>
          <cell r="I665">
            <v>390.46779842925201</v>
          </cell>
          <cell r="J665">
            <v>0.17937416920636701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3.7119628304010757</v>
          </cell>
          <cell r="F666">
            <v>3.6555838255765019</v>
          </cell>
          <cell r="G666">
            <v>5.4331546114682485</v>
          </cell>
          <cell r="H666">
            <v>5.5461671226032898</v>
          </cell>
          <cell r="I666">
            <v>4.2076271382462442</v>
          </cell>
          <cell r="J666">
            <v>1.9329113061030921E-3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2.4568303228174402E-7</v>
          </cell>
          <cell r="G667">
            <v>5.3101304493677997E-7</v>
          </cell>
          <cell r="H667">
            <v>1.82292791539433E-3</v>
          </cell>
          <cell r="I667">
            <v>1.80622617793221E-7</v>
          </cell>
          <cell r="J667">
            <v>3.9872608388458901E-8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4.9217663576402532E-2</v>
          </cell>
          <cell r="F668">
            <v>1.4069509710307078E-2</v>
          </cell>
          <cell r="G668">
            <v>1.4068739057225915E-2</v>
          </cell>
          <cell r="H668">
            <v>1.3984124536231247E-2</v>
          </cell>
          <cell r="I668">
            <v>1.2592427340860576E-2</v>
          </cell>
          <cell r="J668">
            <v>3.2988824933190969E-4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9.4557975559616994E-2</v>
          </cell>
          <cell r="F669">
            <v>8.0366184672118375E-3</v>
          </cell>
          <cell r="G669">
            <v>9.4506673431740865E-2</v>
          </cell>
          <cell r="H669">
            <v>9.4502294010359103E-2</v>
          </cell>
          <cell r="I669">
            <v>2.2070820947613604E-2</v>
          </cell>
          <cell r="J669">
            <v>1.6038098263053791E-2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9.4557975559616897E-2</v>
          </cell>
          <cell r="F670">
            <v>8.0366184672118323E-3</v>
          </cell>
          <cell r="G670">
            <v>9.4506673431740768E-2</v>
          </cell>
          <cell r="H670">
            <v>9.4502294010359075E-2</v>
          </cell>
          <cell r="I670">
            <v>2.2070820947613593E-2</v>
          </cell>
          <cell r="J670">
            <v>1.6038098263053774E-2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0.13509043615262117</v>
          </cell>
          <cell r="F671">
            <v>1.148431158126932E-2</v>
          </cell>
          <cell r="G671">
            <v>0.13501078197836205</v>
          </cell>
          <cell r="H671">
            <v>0.13500458477342225</v>
          </cell>
          <cell r="I671">
            <v>3.1531910357906257E-2</v>
          </cell>
          <cell r="J671">
            <v>2.291287736018683E-2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0.13509043615262117</v>
          </cell>
          <cell r="F672">
            <v>1.148431158126932E-2</v>
          </cell>
          <cell r="G672">
            <v>0.13501078197836205</v>
          </cell>
          <cell r="H672">
            <v>0.13500458477342225</v>
          </cell>
          <cell r="I672">
            <v>3.1531910357906257E-2</v>
          </cell>
          <cell r="J672">
            <v>2.291287736018683E-2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1.12352578136143E-6</v>
          </cell>
          <cell r="G673">
            <v>1.13082979740571E-6</v>
          </cell>
          <cell r="H673">
            <v>1.1272211708885599E-6</v>
          </cell>
          <cell r="I673">
            <v>1.64987799886256E-6</v>
          </cell>
          <cell r="J673">
            <v>1.3262011733817601E-6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9.9998182556312154E-2</v>
          </cell>
          <cell r="G674">
            <v>9.9998265496152469E-2</v>
          </cell>
          <cell r="H674">
            <v>9.9998379502887202E-2</v>
          </cell>
          <cell r="I674">
            <v>9.9999365721577221E-2</v>
          </cell>
          <cell r="J674">
            <v>9.9999376872031129E-2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3.701272732309313E-4</v>
          </cell>
          <cell r="I675">
            <v>3.6993767420699544E-4</v>
          </cell>
          <cell r="J675">
            <v>3.7027152265877193E-4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3.701272732309313E-4</v>
          </cell>
          <cell r="I676">
            <v>3.6993767420699544E-4</v>
          </cell>
          <cell r="J676">
            <v>3.7027152265877193E-4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5.92253105085537E-5</v>
          </cell>
          <cell r="I677">
            <v>4.2796896964474597E-7</v>
          </cell>
          <cell r="J677">
            <v>4.0725027713082203E-5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5.92253105085537E-5</v>
          </cell>
          <cell r="I678">
            <v>6.1643216373115299E-5</v>
          </cell>
          <cell r="J678">
            <v>5.8139411628830102E-5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6.4960939600719803</v>
          </cell>
          <cell r="F679">
            <v>0.25904424626378397</v>
          </cell>
          <cell r="G679">
            <v>0.82086818311026999</v>
          </cell>
          <cell r="H679">
            <v>0.26468205060922201</v>
          </cell>
          <cell r="I679">
            <v>138.37901433441399</v>
          </cell>
          <cell r="J679">
            <v>83.587443867814798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6.0775504956746475E-2</v>
          </cell>
          <cell r="F680">
            <v>2.7148517359947455E-3</v>
          </cell>
          <cell r="G680">
            <v>7.1241925156981262E-3</v>
          </cell>
          <cell r="H680">
            <v>2.747451412683977E-3</v>
          </cell>
          <cell r="I680">
            <v>1.5019426615084366</v>
          </cell>
          <cell r="J680">
            <v>0.90270691794447033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2.7976026091200732E-2</v>
          </cell>
          <cell r="F681">
            <v>1.261979595167464E-3</v>
          </cell>
          <cell r="G681">
            <v>3.3611971196623436E-3</v>
          </cell>
          <cell r="H681">
            <v>1.3294119738793417E-3</v>
          </cell>
          <cell r="I681">
            <v>0.74486587278060679</v>
          </cell>
          <cell r="J681">
            <v>0.45875269600456725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0.11517897092326203</v>
          </cell>
          <cell r="F682">
            <v>4.5929830897833953E-3</v>
          </cell>
          <cell r="G682">
            <v>1.4554400409756555E-2</v>
          </cell>
          <cell r="H682">
            <v>4.6929441597379808E-3</v>
          </cell>
          <cell r="I682">
            <v>2.4535286229506008</v>
          </cell>
          <cell r="J682">
            <v>1.4820468770889157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1.7955677225879601E-7</v>
          </cell>
          <cell r="G683">
            <v>2.1534530680174301E-5</v>
          </cell>
          <cell r="H683">
            <v>1.9501743879527799E-6</v>
          </cell>
          <cell r="I683">
            <v>2.16171685121339E-2</v>
          </cell>
          <cell r="J683">
            <v>1.05921485827171E-7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8.4244751240739012E-3</v>
          </cell>
          <cell r="F684">
            <v>3.7994144337336923E-4</v>
          </cell>
          <cell r="G684">
            <v>3.9993571757190351E-4</v>
          </cell>
          <cell r="H684">
            <v>4.0011748647999709E-4</v>
          </cell>
          <cell r="I684">
            <v>5.527169049892431E-2</v>
          </cell>
          <cell r="J684">
            <v>3.4043447688514097E-2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3.3324472152107134</v>
          </cell>
          <cell r="I685">
            <v>3.5378734027833776</v>
          </cell>
          <cell r="J685">
            <v>3.7432902751045249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3.3661082981926405</v>
          </cell>
          <cell r="I686">
            <v>3.5736094977609887</v>
          </cell>
          <cell r="J686">
            <v>3.7811012879843662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0.44752434871633301</v>
          </cell>
          <cell r="I687">
            <v>1.3815986344100899E-2</v>
          </cell>
          <cell r="J687">
            <v>2.7578831990572501E-2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0.44752434871633301</v>
          </cell>
          <cell r="I688">
            <v>0.47513758708154602</v>
          </cell>
          <cell r="J688">
            <v>0.50271641907211895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4.0476759174883918</v>
          </cell>
          <cell r="F689">
            <v>4.5837895620774036</v>
          </cell>
          <cell r="G689">
            <v>3.0436366034191216</v>
          </cell>
          <cell r="H689">
            <v>3.032271519686415</v>
          </cell>
          <cell r="I689">
            <v>2.9504522513756744</v>
          </cell>
          <cell r="J689">
            <v>2.8719166368287428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4.0476759174883918</v>
          </cell>
          <cell r="F690">
            <v>4.5837895620774036</v>
          </cell>
          <cell r="G690">
            <v>3.0436366034191216</v>
          </cell>
          <cell r="H690">
            <v>3.032271519686415</v>
          </cell>
          <cell r="I690">
            <v>2.9504522513756744</v>
          </cell>
          <cell r="J690">
            <v>2.8719166368287428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1.424310563654253</v>
          </cell>
          <cell r="F691">
            <v>1.5783618256687013</v>
          </cell>
          <cell r="G691">
            <v>1.4829569072472446</v>
          </cell>
          <cell r="H691">
            <v>1.3239499675902595</v>
          </cell>
          <cell r="I691">
            <v>1.0060952768151468</v>
          </cell>
          <cell r="J691">
            <v>1.0060957472263621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0.95936608840194293</v>
          </cell>
          <cell r="F692">
            <v>1.1059703314023126</v>
          </cell>
          <cell r="G692">
            <v>1.1059698491146788</v>
          </cell>
          <cell r="H692">
            <v>1.1059699414783823</v>
          </cell>
          <cell r="I692">
            <v>1.106145232659695</v>
          </cell>
          <cell r="J692">
            <v>1.1061457498503979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2.6453969423540649</v>
          </cell>
          <cell r="F693">
            <v>3.0465646355384406</v>
          </cell>
          <cell r="G693">
            <v>3.0436366034191216</v>
          </cell>
          <cell r="H693">
            <v>3.032271519686415</v>
          </cell>
          <cell r="I693">
            <v>2.9504522513756744</v>
          </cell>
          <cell r="J693">
            <v>2.8719166368287428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2.6190409937355399E-2</v>
          </cell>
          <cell r="G694">
            <v>6.5669012463296103E-3</v>
          </cell>
          <cell r="H694">
            <v>1.2225228670885701E-2</v>
          </cell>
          <cell r="I694">
            <v>3.11662944778704E-2</v>
          </cell>
          <cell r="J694">
            <v>4.34958479034014E-2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7.3512689615701898E-2</v>
          </cell>
          <cell r="F695">
            <v>8.4746869931111635E-2</v>
          </cell>
          <cell r="G695">
            <v>8.4746542624634852E-2</v>
          </cell>
          <cell r="H695">
            <v>8.4748062415430106E-2</v>
          </cell>
          <cell r="I695">
            <v>8.4760575417151596E-2</v>
          </cell>
          <cell r="J695">
            <v>8.4760548863335616E-2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1.3089464410007683E-3</v>
          </cell>
          <cell r="I696">
            <v>8.9387743660763748E-4</v>
          </cell>
          <cell r="J696">
            <v>1.0897738802256708E-3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9.8515442664794703E-4</v>
          </cell>
          <cell r="I697">
            <v>5.6270704554707768E-4</v>
          </cell>
          <cell r="J697">
            <v>6.1595914969277056E-4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2.7556767178963586E-3</v>
          </cell>
          <cell r="I698">
            <v>1.6562098155750522E-3</v>
          </cell>
          <cell r="J698">
            <v>1.8952806738771271E-3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8.1979598895105406E-5</v>
          </cell>
          <cell r="I699">
            <v>6.5857995900415096E-7</v>
          </cell>
          <cell r="J699">
            <v>8.4521821459383303E-5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8.1979598895105406E-5</v>
          </cell>
          <cell r="I700">
            <v>9.4001470176041408E-5</v>
          </cell>
          <cell r="J700">
            <v>1.0080437006895015E-4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1.663796931826786E-3</v>
          </cell>
          <cell r="F701">
            <v>1.6566116317796211E-3</v>
          </cell>
          <cell r="G701">
            <v>1.6775080855204369E-3</v>
          </cell>
          <cell r="H701">
            <v>0.1070912504441115</v>
          </cell>
          <cell r="I701">
            <v>0.10916619686268503</v>
          </cell>
          <cell r="J701">
            <v>5.2435245250854773E-2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1.663796931826788E-3</v>
          </cell>
          <cell r="F702">
            <v>1.6566116317796222E-3</v>
          </cell>
          <cell r="G702">
            <v>1.6775080855204387E-3</v>
          </cell>
          <cell r="H702">
            <v>0.10709125044411162</v>
          </cell>
          <cell r="I702">
            <v>0.1091661968626851</v>
          </cell>
          <cell r="J702">
            <v>5.2435245250854773E-2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1.8431068805727017E-3</v>
          </cell>
          <cell r="F703">
            <v>1.8349923751017334E-3</v>
          </cell>
          <cell r="G703">
            <v>1.8555784410038986E-3</v>
          </cell>
          <cell r="H703">
            <v>0.11842881897386191</v>
          </cell>
          <cell r="I703">
            <v>0.12072342318414671</v>
          </cell>
          <cell r="J703">
            <v>5.798654188442974E-2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1.8431068805727017E-3</v>
          </cell>
          <cell r="F704">
            <v>1.8349923751017334E-3</v>
          </cell>
          <cell r="G704">
            <v>1.8555784410038986E-3</v>
          </cell>
          <cell r="H704">
            <v>0.11842881897386191</v>
          </cell>
          <cell r="I704">
            <v>0.12072342318414671</v>
          </cell>
          <cell r="J704">
            <v>5.798654188442974E-2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6.8021633330741897E-4</v>
          </cell>
          <cell r="F705">
            <v>1.09432306174423E-6</v>
          </cell>
          <cell r="G705">
            <v>5.5063465742953899E-6</v>
          </cell>
          <cell r="H705">
            <v>4.3360466124309799E-2</v>
          </cell>
          <cell r="I705">
            <v>4.27544337244899E-2</v>
          </cell>
          <cell r="J705">
            <v>4.9088259869545597E-2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6.8291025324586634E-4</v>
          </cell>
          <cell r="F706">
            <v>6.8353646913459109E-4</v>
          </cell>
          <cell r="G706">
            <v>6.8853995232516204E-4</v>
          </cell>
          <cell r="H706">
            <v>4.3863230368936246E-2</v>
          </cell>
          <cell r="I706">
            <v>5.8873491694562331E-2</v>
          </cell>
          <cell r="J706">
            <v>7.2010465842370489E-2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2101.87344529649</v>
          </cell>
          <cell r="F707">
            <v>1801.6504541623201</v>
          </cell>
          <cell r="G707">
            <v>1691.0774079463899</v>
          </cell>
          <cell r="H707">
            <v>628.09781591312799</v>
          </cell>
          <cell r="I707">
            <v>128.24029974379101</v>
          </cell>
          <cell r="J707">
            <v>399.43056312206699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37.475450990451129</v>
          </cell>
          <cell r="F708">
            <v>31.842753452522725</v>
          </cell>
          <cell r="G708">
            <v>29.906805204875994</v>
          </cell>
          <cell r="H708">
            <v>11.440952229636789</v>
          </cell>
          <cell r="I708">
            <v>3.8055956275773171</v>
          </cell>
          <cell r="J708">
            <v>8.5945465128604184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37.267259668377505</v>
          </cell>
          <cell r="F709">
            <v>31.944156988693521</v>
          </cell>
          <cell r="G709">
            <v>29.983641984865145</v>
          </cell>
          <cell r="H709">
            <v>11.13648609775051</v>
          </cell>
          <cell r="I709">
            <v>2.2737641798544432</v>
          </cell>
          <cell r="J709">
            <v>7.0821021830153725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0.32791113187919763</v>
          </cell>
          <cell r="F710">
            <v>3.6573968364245923E-4</v>
          </cell>
          <cell r="G710">
            <v>8.686439220157798E-4</v>
          </cell>
          <cell r="H710">
            <v>8.6967277111617812E-4</v>
          </cell>
          <cell r="I710">
            <v>1.5235946592009579</v>
          </cell>
          <cell r="J710">
            <v>1.5235593077519447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1.7835441812687709E-2</v>
          </cell>
          <cell r="H711">
            <v>0.3402001303383691</v>
          </cell>
          <cell r="I711">
            <v>2.0674274051376909E-2</v>
          </cell>
          <cell r="J711">
            <v>1.6461962537456094E-2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1.3573423310587401E-6</v>
          </cell>
          <cell r="F712">
            <v>7.4180974084185504E-7</v>
          </cell>
          <cell r="G712">
            <v>1.13648094487397E-6</v>
          </cell>
          <cell r="H712">
            <v>2.0468400197140001E-6</v>
          </cell>
          <cell r="I712">
            <v>3.78681777024506E-6</v>
          </cell>
          <cell r="J712">
            <v>6.7875916709937096E-5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1.984484727608431</v>
          </cell>
          <cell r="F713">
            <v>1.9844854694181719</v>
          </cell>
          <cell r="G713">
            <v>1.9844866058991169</v>
          </cell>
          <cell r="H713">
            <v>1.9844886527391365</v>
          </cell>
          <cell r="I713">
            <v>1.9844961370107039</v>
          </cell>
          <cell r="J713">
            <v>1.0955400801072337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0.54529225122661173</v>
          </cell>
          <cell r="G714">
            <v>0.50322602221778379</v>
          </cell>
          <cell r="H714">
            <v>1.088219349295845</v>
          </cell>
          <cell r="I714">
            <v>3.0600118362774396</v>
          </cell>
          <cell r="J714">
            <v>6.1200009293579667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0.54529225122661173</v>
          </cell>
          <cell r="G715">
            <v>0.50322602221778379</v>
          </cell>
          <cell r="H715">
            <v>1.088219349295845</v>
          </cell>
          <cell r="I715">
            <v>3.0600118362774396</v>
          </cell>
          <cell r="J715">
            <v>6.1200009293579667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7.1321519001532E-3</v>
          </cell>
          <cell r="G716">
            <v>1.01674772611824E-5</v>
          </cell>
          <cell r="H716">
            <v>0.120110472297857</v>
          </cell>
          <cell r="I716">
            <v>0.20670978329439599</v>
          </cell>
          <cell r="J716">
            <v>0.64081957052743399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9.0660039936760403E-2</v>
          </cell>
          <cell r="G717">
            <v>8.3666124907950584E-2</v>
          </cell>
          <cell r="H717">
            <v>0.1809268523840783</v>
          </cell>
          <cell r="I717">
            <v>0.50875649399559264</v>
          </cell>
          <cell r="J717">
            <v>1.01750881979439</v>
          </cell>
        </row>
        <row r="718">
          <cell r="B718" t="str">
            <v>EGEO</v>
          </cell>
          <cell r="C718" t="str">
            <v>VAR_ncap</v>
          </cell>
          <cell r="D718" t="str">
            <v>-</v>
          </cell>
          <cell r="I718">
            <v>1.05678383071329E-7</v>
          </cell>
          <cell r="J718">
            <v>4.8185684889381402E-8</v>
          </cell>
        </row>
        <row r="719">
          <cell r="B719" t="str">
            <v>EGEO</v>
          </cell>
          <cell r="C719" t="str">
            <v>VAR_cap</v>
          </cell>
          <cell r="D719" t="str">
            <v>-</v>
          </cell>
          <cell r="I719">
            <v>1.05678383071329E-7</v>
          </cell>
          <cell r="J719">
            <v>1.2870213936154581E-7</v>
          </cell>
        </row>
        <row r="720">
          <cell r="B720" t="str">
            <v>D-SPLT</v>
          </cell>
          <cell r="C720" t="str">
            <v>VAR_fout</v>
          </cell>
          <cell r="D720" t="str">
            <v>SPLT</v>
          </cell>
          <cell r="E720">
            <v>2.085636203332542</v>
          </cell>
          <cell r="F720">
            <v>2.4000921429858377</v>
          </cell>
          <cell r="G720">
            <v>0.28621888394374079</v>
          </cell>
          <cell r="H720">
            <v>0.25403278952821806</v>
          </cell>
          <cell r="I720">
            <v>0.13448840500234571</v>
          </cell>
          <cell r="J720">
            <v>4.538862079517577E-2</v>
          </cell>
        </row>
        <row r="721">
          <cell r="B721" t="str">
            <v>D-SPLT</v>
          </cell>
          <cell r="C721" t="str">
            <v>VAR_fin</v>
          </cell>
          <cell r="D721" t="str">
            <v>PLT</v>
          </cell>
          <cell r="E721">
            <v>2.085636203332542</v>
          </cell>
          <cell r="F721">
            <v>2.4000921429858377</v>
          </cell>
          <cell r="G721">
            <v>0.28621888394374079</v>
          </cell>
          <cell r="H721">
            <v>0.25403278952821806</v>
          </cell>
          <cell r="I721">
            <v>0.13448840500234571</v>
          </cell>
          <cell r="J721">
            <v>4.538862079517577E-2</v>
          </cell>
        </row>
        <row r="722">
          <cell r="B722" t="str">
            <v>RHES-ESOLPV</v>
          </cell>
          <cell r="C722" t="str">
            <v>VAR_fout</v>
          </cell>
          <cell r="D722" t="str">
            <v>RHES_SOL_ELC</v>
          </cell>
          <cell r="E722">
            <v>2.1349390887346629</v>
          </cell>
          <cell r="F722">
            <v>3.3906653158038402</v>
          </cell>
          <cell r="G722">
            <v>8.042518219954049</v>
          </cell>
          <cell r="H722">
            <v>14.081124364741443</v>
          </cell>
          <cell r="I722">
            <v>11.285188775088718</v>
          </cell>
          <cell r="J722">
            <v>1.3801836922928117</v>
          </cell>
        </row>
        <row r="723">
          <cell r="B723" t="str">
            <v>RHES-ESOLPV</v>
          </cell>
          <cell r="C723" t="str">
            <v>VAR_fin</v>
          </cell>
          <cell r="D723" t="str">
            <v>SOL</v>
          </cell>
          <cell r="E723">
            <v>2.1349390887346629</v>
          </cell>
          <cell r="F723">
            <v>3.3906653158038402</v>
          </cell>
          <cell r="G723">
            <v>8.042518219954049</v>
          </cell>
          <cell r="H723">
            <v>14.081124364741443</v>
          </cell>
          <cell r="I723">
            <v>11.285188775088718</v>
          </cell>
          <cell r="J723">
            <v>1.3801836922928117</v>
          </cell>
        </row>
        <row r="724">
          <cell r="B724" t="str">
            <v>RHES-ESOLPV</v>
          </cell>
          <cell r="C724" t="str">
            <v>VAR_fin</v>
          </cell>
          <cell r="D724" t="str">
            <v>SOLPVC</v>
          </cell>
          <cell r="E724">
            <v>2.1349390887346602</v>
          </cell>
          <cell r="F724">
            <v>3.3906653158038398</v>
          </cell>
          <cell r="G724">
            <v>8.0425182199540401</v>
          </cell>
          <cell r="H724">
            <v>14.081124364741401</v>
          </cell>
          <cell r="I724">
            <v>11.285188775088701</v>
          </cell>
          <cell r="J724">
            <v>1.3801836922928099</v>
          </cell>
        </row>
        <row r="725">
          <cell r="B725" t="str">
            <v>RHES-ESOLPV</v>
          </cell>
          <cell r="C725" t="str">
            <v>VAR_ncap</v>
          </cell>
          <cell r="D725" t="str">
            <v>-</v>
          </cell>
          <cell r="F725">
            <v>5.6711710032299198E-8</v>
          </cell>
          <cell r="G725">
            <v>1.2768886097408201</v>
          </cell>
          <cell r="H725">
            <v>1.5300148283244701</v>
          </cell>
          <cell r="I725">
            <v>1.9903282548991899E-6</v>
          </cell>
          <cell r="J725">
            <v>5.0494814521705998E-6</v>
          </cell>
        </row>
        <row r="726">
          <cell r="B726" t="str">
            <v>RHES-ESOLPV</v>
          </cell>
          <cell r="C726" t="str">
            <v>VAR_cap</v>
          </cell>
          <cell r="D726" t="str">
            <v>-</v>
          </cell>
          <cell r="E726">
            <v>0.67885700000000004</v>
          </cell>
          <cell r="F726">
            <v>1.1558999743898599</v>
          </cell>
          <cell r="G726">
            <v>2.5660456664525304</v>
          </cell>
          <cell r="H726">
            <v>4.0591776598333897</v>
          </cell>
          <cell r="I726">
            <v>3.2531910852211219</v>
          </cell>
          <cell r="J726">
            <v>0.39786705451503901</v>
          </cell>
        </row>
        <row r="727">
          <cell r="B727" t="str">
            <v>SUP_DAC</v>
          </cell>
          <cell r="C727" t="str">
            <v>VAR_fout</v>
          </cell>
          <cell r="D727" t="str">
            <v>CO2_O</v>
          </cell>
          <cell r="I727">
            <v>2.7899668875568822E-3</v>
          </cell>
          <cell r="J727">
            <v>1.4450817954069873E-2</v>
          </cell>
        </row>
        <row r="728">
          <cell r="B728" t="str">
            <v>SUP_DAC</v>
          </cell>
          <cell r="C728" t="str">
            <v>VAR_fout</v>
          </cell>
          <cell r="D728" t="str">
            <v>CO2</v>
          </cell>
          <cell r="I728">
            <v>-2.78996688755688E-3</v>
          </cell>
          <cell r="J728">
            <v>-1.4450817954069901E-2</v>
          </cell>
        </row>
        <row r="729">
          <cell r="B729" t="str">
            <v>SUP_DAC</v>
          </cell>
          <cell r="C729" t="str">
            <v>VAR_fin</v>
          </cell>
          <cell r="D729" t="str">
            <v>CHEAT</v>
          </cell>
          <cell r="I729">
            <v>1.8550992944148734E-5</v>
          </cell>
          <cell r="J729">
            <v>9.2106197058071577E-5</v>
          </cell>
        </row>
        <row r="730">
          <cell r="B730" t="str">
            <v>SUP_DAC</v>
          </cell>
          <cell r="C730" t="str">
            <v>VAR_fin</v>
          </cell>
          <cell r="D730" t="str">
            <v>CELC</v>
          </cell>
          <cell r="I730">
            <v>3.86875408407888E-6</v>
          </cell>
          <cell r="J730">
            <v>1.3150244338203571E-5</v>
          </cell>
        </row>
        <row r="731">
          <cell r="B731" t="str">
            <v>SUP_DAC</v>
          </cell>
          <cell r="C731" t="str">
            <v>VAR_ncap</v>
          </cell>
          <cell r="D731" t="str">
            <v>-</v>
          </cell>
          <cell r="I731">
            <v>1.2852114804108199E-3</v>
          </cell>
          <cell r="J731">
            <v>1.37569363874863E-3</v>
          </cell>
        </row>
        <row r="732">
          <cell r="B732" t="str">
            <v>SUP_DAC</v>
          </cell>
          <cell r="C732" t="str">
            <v>VAR_cap</v>
          </cell>
          <cell r="D732" t="str">
            <v>-</v>
          </cell>
          <cell r="I732">
            <v>1.2852114804108199E-3</v>
          </cell>
          <cell r="J732">
            <v>2.3037626131983432E-3</v>
          </cell>
        </row>
        <row r="733">
          <cell r="B733" t="str">
            <v>EHYD-DAM10</v>
          </cell>
          <cell r="C733" t="str">
            <v>VAR_fout</v>
          </cell>
          <cell r="D733" t="str">
            <v>ELC</v>
          </cell>
          <cell r="F733">
            <v>0.51591909599461583</v>
          </cell>
          <cell r="G733">
            <v>0.67522974155872151</v>
          </cell>
          <cell r="H733">
            <v>0.72022689071881785</v>
          </cell>
          <cell r="I733">
            <v>0.72546037668170915</v>
          </cell>
          <cell r="J733">
            <v>0.73433868341848052</v>
          </cell>
        </row>
        <row r="734">
          <cell r="B734" t="str">
            <v>EHYD-DAM10</v>
          </cell>
          <cell r="C734" t="str">
            <v>VAR_fin</v>
          </cell>
          <cell r="D734" t="str">
            <v>HYDD</v>
          </cell>
          <cell r="F734">
            <v>0.51591909599461583</v>
          </cell>
          <cell r="G734">
            <v>0.67522974155872151</v>
          </cell>
          <cell r="H734">
            <v>0.72022689071881785</v>
          </cell>
          <cell r="I734">
            <v>0.72546037668170915</v>
          </cell>
          <cell r="J734">
            <v>0.73433868341848052</v>
          </cell>
        </row>
        <row r="735">
          <cell r="B735" t="str">
            <v>EHYD-DAM10</v>
          </cell>
          <cell r="C735" t="str">
            <v>VAR_ncap</v>
          </cell>
          <cell r="D735" t="str">
            <v>-</v>
          </cell>
          <cell r="F735">
            <v>7.5294927837211506E-2</v>
          </cell>
          <cell r="G735">
            <v>2.83755981436187E-7</v>
          </cell>
          <cell r="H735">
            <v>1.13706659346854E-6</v>
          </cell>
          <cell r="I735">
            <v>5.1813847304610599E-6</v>
          </cell>
          <cell r="J735">
            <v>6.18468359270598E-7</v>
          </cell>
        </row>
        <row r="736">
          <cell r="B736" t="str">
            <v>EHYD-DAM10</v>
          </cell>
          <cell r="C736" t="str">
            <v>VAR_cap</v>
          </cell>
          <cell r="D736" t="str">
            <v>-</v>
          </cell>
          <cell r="F736">
            <v>7.5294927837211506E-2</v>
          </cell>
          <cell r="G736">
            <v>7.5295211593192996E-2</v>
          </cell>
          <cell r="H736">
            <v>7.5296348659786405E-2</v>
          </cell>
          <cell r="I736">
            <v>7.5301990924568601E-2</v>
          </cell>
          <cell r="J736">
            <v>7.5302609392927794E-2</v>
          </cell>
        </row>
        <row r="737">
          <cell r="B737" t="str">
            <v>DH-EBAT</v>
          </cell>
          <cell r="C737" t="str">
            <v>VAR_fout</v>
          </cell>
          <cell r="D737" t="str">
            <v>ELC35</v>
          </cell>
          <cell r="E737">
            <v>4.5260787732227742E-3</v>
          </cell>
          <cell r="F737">
            <v>3.668086468437711E-3</v>
          </cell>
          <cell r="G737">
            <v>4.658805802667817E-3</v>
          </cell>
          <cell r="H737">
            <v>5.8496765269589737E-3</v>
          </cell>
          <cell r="I737">
            <v>2.1900213346405656E-2</v>
          </cell>
          <cell r="J737">
            <v>2.5083551577351634E-2</v>
          </cell>
        </row>
        <row r="738">
          <cell r="B738" t="str">
            <v>DH-EBAT</v>
          </cell>
          <cell r="C738" t="str">
            <v>VAR_fout</v>
          </cell>
          <cell r="D738" t="str">
            <v>AUX_DH-EBAT_OUT</v>
          </cell>
          <cell r="E738">
            <v>4.5260787732227734E-3</v>
          </cell>
          <cell r="F738">
            <v>3.6680864684377102E-3</v>
          </cell>
          <cell r="G738">
            <v>4.6588058026678153E-3</v>
          </cell>
          <cell r="H738">
            <v>5.849676526958972E-3</v>
          </cell>
          <cell r="I738">
            <v>2.1900213346405645E-2</v>
          </cell>
          <cell r="J738">
            <v>2.508355157735162E-2</v>
          </cell>
        </row>
        <row r="739">
          <cell r="B739" t="str">
            <v>DH-EBAT</v>
          </cell>
          <cell r="C739" t="str">
            <v>VAR_fin</v>
          </cell>
          <cell r="D739" t="str">
            <v>ELC35</v>
          </cell>
          <cell r="E739">
            <v>5.0616770872749326E-3</v>
          </cell>
          <cell r="F739">
            <v>4.1018981688576628E-3</v>
          </cell>
          <cell r="G739">
            <v>5.210323705510468E-3</v>
          </cell>
          <cell r="H739">
            <v>6.5424060716390347E-3</v>
          </cell>
          <cell r="I739">
            <v>2.4489715576449876E-2</v>
          </cell>
          <cell r="J739">
            <v>2.8049456567697847E-2</v>
          </cell>
        </row>
        <row r="740">
          <cell r="B740" t="str">
            <v>DH-EBAT</v>
          </cell>
          <cell r="C740" t="str">
            <v>VAR_fin</v>
          </cell>
          <cell r="D740" t="str">
            <v>AUX_DH-EBAT_IN</v>
          </cell>
          <cell r="E740">
            <v>5.0616770872749326E-3</v>
          </cell>
          <cell r="F740">
            <v>4.1018981688576628E-3</v>
          </cell>
          <cell r="G740">
            <v>5.210323705510468E-3</v>
          </cell>
          <cell r="H740">
            <v>6.5424060716390347E-3</v>
          </cell>
          <cell r="I740">
            <v>2.4489715576449876E-2</v>
          </cell>
          <cell r="J740">
            <v>2.8049456567697847E-2</v>
          </cell>
        </row>
        <row r="741">
          <cell r="B741" t="str">
            <v>DH-EBAT</v>
          </cell>
          <cell r="C741" t="str">
            <v>VAR_ncap</v>
          </cell>
          <cell r="D741" t="str">
            <v>-</v>
          </cell>
          <cell r="E741">
            <v>6.3073407841438803E-4</v>
          </cell>
          <cell r="F741">
            <v>1.017804076245E-6</v>
          </cell>
          <cell r="G741">
            <v>1.67103258415147E-5</v>
          </cell>
          <cell r="H741">
            <v>3.2957842473477E-4</v>
          </cell>
          <cell r="I741">
            <v>1.5018609986312201E-3</v>
          </cell>
          <cell r="J741">
            <v>2.3698642000742801E-2</v>
          </cell>
        </row>
        <row r="742">
          <cell r="B742" t="str">
            <v>DH-EBAT</v>
          </cell>
          <cell r="C742" t="str">
            <v>VAR_cap</v>
          </cell>
          <cell r="D742" t="str">
            <v>-</v>
          </cell>
          <cell r="E742">
            <v>6.3073407841438803E-4</v>
          </cell>
          <cell r="F742">
            <v>6.3136002728325354E-4</v>
          </cell>
          <cell r="G742">
            <v>6.4778494713504356E-4</v>
          </cell>
          <cell r="H742">
            <v>8.0728062538469255E-4</v>
          </cell>
          <cell r="I742">
            <v>4.4527257154410096E-3</v>
          </cell>
          <cell r="J742">
            <v>2.4958914467553963E-2</v>
          </cell>
        </row>
        <row r="743">
          <cell r="B743" t="str">
            <v>RHEM-EBAT</v>
          </cell>
          <cell r="C743" t="str">
            <v>VAR_fout</v>
          </cell>
          <cell r="D743" t="str">
            <v>RHEM_ELC</v>
          </cell>
          <cell r="E743">
            <v>1.6650560112871533E-3</v>
          </cell>
          <cell r="F743">
            <v>1.6578580865835835E-3</v>
          </cell>
          <cell r="G743">
            <v>1.6788503290771201E-3</v>
          </cell>
          <cell r="H743">
            <v>0.11158020587736266</v>
          </cell>
          <cell r="I743">
            <v>0.11026533356972462</v>
          </cell>
          <cell r="J743">
            <v>5.2440560419105914E-2</v>
          </cell>
        </row>
        <row r="744">
          <cell r="B744" t="str">
            <v>RHEM-EBAT</v>
          </cell>
          <cell r="C744" t="str">
            <v>VAR_fout</v>
          </cell>
          <cell r="D744" t="str">
            <v>AUX_RHEM-EBAT_OUT</v>
          </cell>
          <cell r="E744">
            <v>1.6650560112871544E-3</v>
          </cell>
          <cell r="F744">
            <v>1.657858086583585E-3</v>
          </cell>
          <cell r="G744">
            <v>1.6788503290771218E-3</v>
          </cell>
          <cell r="H744">
            <v>0.11158020587736274</v>
          </cell>
          <cell r="I744">
            <v>0.11026533356972479</v>
          </cell>
          <cell r="J744">
            <v>5.2440560419105942E-2</v>
          </cell>
        </row>
        <row r="745">
          <cell r="B745" t="str">
            <v>RHEM-EBAT</v>
          </cell>
          <cell r="C745" t="str">
            <v>VAR_fin</v>
          </cell>
          <cell r="D745" t="str">
            <v>RHEM_ELC</v>
          </cell>
          <cell r="E745">
            <v>1.8444992522236357E-3</v>
          </cell>
          <cell r="F745">
            <v>1.8363658286752922E-3</v>
          </cell>
          <cell r="G745">
            <v>1.8570627809012456E-3</v>
          </cell>
          <cell r="H745">
            <v>0.12339299675993022</v>
          </cell>
          <cell r="I745">
            <v>0.1219389201814613</v>
          </cell>
          <cell r="J745">
            <v>5.7992419741872012E-2</v>
          </cell>
        </row>
        <row r="746">
          <cell r="B746" t="str">
            <v>RHEM-EBAT</v>
          </cell>
          <cell r="C746" t="str">
            <v>VAR_fin</v>
          </cell>
          <cell r="D746" t="str">
            <v>AUX_RHEM-EBAT_IN</v>
          </cell>
          <cell r="E746">
            <v>1.8444992522236357E-3</v>
          </cell>
          <cell r="F746">
            <v>1.8363658286752922E-3</v>
          </cell>
          <cell r="G746">
            <v>1.8570627809012456E-3</v>
          </cell>
          <cell r="H746">
            <v>0.12339299675993022</v>
          </cell>
          <cell r="I746">
            <v>0.1219389201814613</v>
          </cell>
          <cell r="J746">
            <v>5.7992419741872012E-2</v>
          </cell>
        </row>
        <row r="747">
          <cell r="B747" t="str">
            <v>RHEM-EBAT</v>
          </cell>
          <cell r="C747" t="str">
            <v>VAR_ncap</v>
          </cell>
          <cell r="D747" t="str">
            <v>-</v>
          </cell>
          <cell r="E747">
            <v>6.8074308501265798E-4</v>
          </cell>
          <cell r="F747">
            <v>1.09840321814973E-6</v>
          </cell>
          <cell r="G747">
            <v>5.6216183513249598E-6</v>
          </cell>
          <cell r="H747">
            <v>4.51984023611346E-2</v>
          </cell>
          <cell r="I747">
            <v>4.4742157841466297E-2</v>
          </cell>
          <cell r="J747">
            <v>4.83826801041062E-2</v>
          </cell>
        </row>
        <row r="748">
          <cell r="B748" t="str">
            <v>RHEM-EBAT</v>
          </cell>
          <cell r="C748" t="str">
            <v>VAR_cap</v>
          </cell>
          <cell r="D748" t="str">
            <v>-</v>
          </cell>
          <cell r="E748">
            <v>6.8343700100034234E-4</v>
          </cell>
          <cell r="F748">
            <v>6.8406763212008859E-4</v>
          </cell>
          <cell r="G748">
            <v>6.8918799473095132E-4</v>
          </cell>
          <cell r="H748">
            <v>4.5701674943890054E-2</v>
          </cell>
          <cell r="I748">
            <v>5.9451935586644938E-2</v>
          </cell>
          <cell r="J748">
            <v>7.1997297940081348E-2</v>
          </cell>
        </row>
        <row r="749">
          <cell r="B749" t="str">
            <v>HPLGEO</v>
          </cell>
          <cell r="C749" t="str">
            <v>VAR_fout</v>
          </cell>
          <cell r="D749" t="str">
            <v>LTH</v>
          </cell>
          <cell r="I749">
            <v>1.0651287891111434E-3</v>
          </cell>
          <cell r="J749">
            <v>1.1654230294838028E-3</v>
          </cell>
        </row>
        <row r="750">
          <cell r="B750" t="str">
            <v>HPLGEO</v>
          </cell>
          <cell r="C750" t="str">
            <v>VAR_fin</v>
          </cell>
          <cell r="D750" t="str">
            <v>GEO</v>
          </cell>
          <cell r="I750">
            <v>1.2530926930719329E-3</v>
          </cell>
          <cell r="J750">
            <v>1.3710859170397679E-3</v>
          </cell>
        </row>
        <row r="751">
          <cell r="B751" t="str">
            <v>HPLGEO</v>
          </cell>
          <cell r="C751" t="str">
            <v>VAR_ncap</v>
          </cell>
          <cell r="D751" t="str">
            <v>-</v>
          </cell>
          <cell r="I751">
            <v>4.2765155518334601E-5</v>
          </cell>
          <cell r="J751">
            <v>1.58781273283695E-6</v>
          </cell>
        </row>
        <row r="752">
          <cell r="B752" t="str">
            <v>HPLGEO</v>
          </cell>
          <cell r="C752" t="str">
            <v>VAR_cap</v>
          </cell>
          <cell r="D752" t="str">
            <v>-</v>
          </cell>
          <cell r="I752">
            <v>4.2765155518334601E-5</v>
          </cell>
          <cell r="J752">
            <v>4.4352968251171601E-5</v>
          </cell>
        </row>
        <row r="753">
          <cell r="B753" t="str">
            <v>CT_CWODBDSCCS</v>
          </cell>
          <cell r="C753" t="str">
            <v>VAR_fout</v>
          </cell>
          <cell r="D753" t="str">
            <v>CO2_O</v>
          </cell>
          <cell r="I753">
            <v>2.2035645257679048E-2</v>
          </cell>
          <cell r="J753">
            <v>7.2457642311821502E-2</v>
          </cell>
        </row>
        <row r="754">
          <cell r="B754" t="str">
            <v>CT_CWODBDSCCS</v>
          </cell>
          <cell r="C754" t="str">
            <v>VAR_fout</v>
          </cell>
          <cell r="D754" t="str">
            <v>CO2</v>
          </cell>
          <cell r="I754">
            <v>-2.20356452576791E-2</v>
          </cell>
          <cell r="J754">
            <v>-7.2457642311821502E-2</v>
          </cell>
        </row>
        <row r="755">
          <cell r="B755" t="str">
            <v>CT_CWODBDSCCS</v>
          </cell>
          <cell r="C755" t="str">
            <v>VAR_fout</v>
          </cell>
          <cell r="D755" t="str">
            <v>BDS</v>
          </cell>
          <cell r="I755">
            <v>1.2329658878615843E-4</v>
          </cell>
          <cell r="J755">
            <v>4.0542403111258737E-4</v>
          </cell>
        </row>
        <row r="756">
          <cell r="B756" t="str">
            <v>CT_CWODBDSCCS</v>
          </cell>
          <cell r="C756" t="str">
            <v>VAR_fout</v>
          </cell>
          <cell r="D756" t="str">
            <v>LTH</v>
          </cell>
          <cell r="I756">
            <v>4.8085669626601677E-5</v>
          </cell>
          <cell r="J756">
            <v>1.5811537213390883E-4</v>
          </cell>
        </row>
        <row r="757">
          <cell r="B757" t="str">
            <v>CT_CWODBDSCCS</v>
          </cell>
          <cell r="C757" t="str">
            <v>VAR_fin</v>
          </cell>
          <cell r="D757" t="str">
            <v>CWOD</v>
          </cell>
          <cell r="I757">
            <v>3.5133362974615849E-4</v>
          </cell>
          <cell r="J757">
            <v>1.1552557766553171E-3</v>
          </cell>
        </row>
        <row r="758">
          <cell r="B758" t="str">
            <v>CT_CWODBDSCCS</v>
          </cell>
          <cell r="C758" t="str">
            <v>VAR_fin</v>
          </cell>
          <cell r="D758" t="str">
            <v>CELC</v>
          </cell>
          <cell r="I758">
            <v>1.5914066852613459E-5</v>
          </cell>
          <cell r="J758">
            <v>5.2328658872888971E-5</v>
          </cell>
        </row>
        <row r="759">
          <cell r="B759" t="str">
            <v>CT_CWODBDSCCS</v>
          </cell>
          <cell r="C759" t="str">
            <v>VAR_ncap</v>
          </cell>
          <cell r="D759" t="str">
            <v>-</v>
          </cell>
          <cell r="I759">
            <v>2.5660483343708399E-5</v>
          </cell>
          <cell r="J759">
            <v>6.3408182744305599E-6</v>
          </cell>
        </row>
        <row r="760">
          <cell r="B760" t="str">
            <v>CT_CWODBDSCCS</v>
          </cell>
          <cell r="C760" t="str">
            <v>VAR_cap</v>
          </cell>
          <cell r="D760" t="str">
            <v>-</v>
          </cell>
          <cell r="I760">
            <v>2.5660483343708399E-5</v>
          </cell>
          <cell r="J760">
            <v>3.2001301618138899E-5</v>
          </cell>
        </row>
        <row r="761">
          <cell r="B761" t="str">
            <v>EHYD-PUM15</v>
          </cell>
          <cell r="C761" t="str">
            <v>VAR_fout</v>
          </cell>
          <cell r="D761" t="str">
            <v>ELC</v>
          </cell>
          <cell r="F761">
            <v>2.2078588953359747E-3</v>
          </cell>
          <cell r="G761">
            <v>3.5836014911606621E-3</v>
          </cell>
          <cell r="H761">
            <v>3.8589837628451649E-3</v>
          </cell>
          <cell r="I761">
            <v>3.2776008928058751E-3</v>
          </cell>
          <cell r="J761">
            <v>3.1653288103537453E-3</v>
          </cell>
        </row>
        <row r="762">
          <cell r="B762" t="str">
            <v>EHYD-PUM15</v>
          </cell>
          <cell r="C762" t="str">
            <v>VAR_fout</v>
          </cell>
          <cell r="D762" t="str">
            <v>AUX_PUMP_OUT</v>
          </cell>
          <cell r="F762">
            <v>2.2078588953359747E-3</v>
          </cell>
          <cell r="G762">
            <v>3.5836014911606621E-3</v>
          </cell>
          <cell r="H762">
            <v>3.8589837628451649E-3</v>
          </cell>
          <cell r="I762">
            <v>3.2776008928058751E-3</v>
          </cell>
          <cell r="J762">
            <v>3.1653288103537453E-3</v>
          </cell>
        </row>
        <row r="763">
          <cell r="B763" t="str">
            <v>EHYD-PUM15</v>
          </cell>
          <cell r="C763" t="str">
            <v>VAR_fin</v>
          </cell>
          <cell r="D763" t="str">
            <v>AUX_PUMP_IN</v>
          </cell>
          <cell r="F763">
            <v>2.7612481126180742E-3</v>
          </cell>
          <cell r="G763">
            <v>4.4804903970442544E-3</v>
          </cell>
          <cell r="H763">
            <v>4.8230159077801062E-3</v>
          </cell>
          <cell r="I763">
            <v>4.0959176600754857E-3</v>
          </cell>
          <cell r="J763">
            <v>3.9555796038226142E-3</v>
          </cell>
        </row>
        <row r="764">
          <cell r="B764" t="str">
            <v>EHYD-PUM15</v>
          </cell>
          <cell r="C764" t="str">
            <v>VAR_fin</v>
          </cell>
          <cell r="D764" t="str">
            <v>ELC</v>
          </cell>
          <cell r="F764">
            <v>2.7612481126180742E-3</v>
          </cell>
          <cell r="G764">
            <v>4.4804903970442544E-3</v>
          </cell>
          <cell r="H764">
            <v>4.8230159077801062E-3</v>
          </cell>
          <cell r="I764">
            <v>4.0959176600754857E-3</v>
          </cell>
          <cell r="J764">
            <v>3.9555796038226142E-3</v>
          </cell>
        </row>
        <row r="765">
          <cell r="B765" t="str">
            <v>EHYD-PUM15</v>
          </cell>
          <cell r="C765" t="str">
            <v>VAR_ncap</v>
          </cell>
          <cell r="D765" t="str">
            <v>-</v>
          </cell>
          <cell r="F765">
            <v>3.0269704162066199E-4</v>
          </cell>
          <cell r="G765">
            <v>1.9652416845218401E-8</v>
          </cell>
          <cell r="H765">
            <v>2.4685329447262799E-8</v>
          </cell>
          <cell r="I765">
            <v>5.6594186788098297E-8</v>
          </cell>
          <cell r="J765">
            <v>7.8822650562328794E-8</v>
          </cell>
        </row>
        <row r="766">
          <cell r="B766" t="str">
            <v>EHYD-PUM15</v>
          </cell>
          <cell r="C766" t="str">
            <v>VAR_cap</v>
          </cell>
          <cell r="D766" t="str">
            <v>-</v>
          </cell>
          <cell r="F766">
            <v>3.0269704162066199E-4</v>
          </cell>
          <cell r="G766">
            <v>3.0271669403750701E-4</v>
          </cell>
          <cell r="H766">
            <v>3.0274137936695401E-4</v>
          </cell>
          <cell r="I766">
            <v>3.0284172589293998E-4</v>
          </cell>
          <cell r="J766">
            <v>3.02920548543502E-4</v>
          </cell>
        </row>
        <row r="767">
          <cell r="B767" t="str">
            <v>D-EWST</v>
          </cell>
          <cell r="C767" t="str">
            <v>VAR_fout</v>
          </cell>
          <cell r="D767" t="str">
            <v>CO2</v>
          </cell>
          <cell r="E767">
            <v>2236.6407527963902</v>
          </cell>
          <cell r="F767">
            <v>2240.8103838950701</v>
          </cell>
          <cell r="G767">
            <v>2268.7818040749398</v>
          </cell>
          <cell r="H767">
            <v>2265.8198554340602</v>
          </cell>
          <cell r="I767">
            <v>2266.0986268636402</v>
          </cell>
          <cell r="J767">
            <v>2317.3898074959002</v>
          </cell>
        </row>
        <row r="768">
          <cell r="B768" t="str">
            <v>D-EWST</v>
          </cell>
          <cell r="C768" t="str">
            <v>VAR_fout</v>
          </cell>
          <cell r="D768" t="str">
            <v>EWST</v>
          </cell>
          <cell r="E768">
            <v>48.203464499922205</v>
          </cell>
          <cell r="F768">
            <v>48.293331140033025</v>
          </cell>
          <cell r="G768">
            <v>48.896170830560244</v>
          </cell>
          <cell r="H768">
            <v>48.832324567220112</v>
          </cell>
          <cell r="I768">
            <v>48.838332475509468</v>
          </cell>
          <cell r="J768">
            <v>49.943745851204774</v>
          </cell>
        </row>
        <row r="769">
          <cell r="B769" t="str">
            <v>D-EWST</v>
          </cell>
          <cell r="C769" t="str">
            <v>VAR_fin</v>
          </cell>
          <cell r="D769" t="str">
            <v>WSTNREN</v>
          </cell>
          <cell r="E769">
            <v>24.101732249961113</v>
          </cell>
          <cell r="F769">
            <v>24.146663619559014</v>
          </cell>
          <cell r="G769">
            <v>24.448079785290265</v>
          </cell>
          <cell r="H769">
            <v>24.416162235280787</v>
          </cell>
          <cell r="I769">
            <v>24.419166237754723</v>
          </cell>
          <cell r="J769">
            <v>24.971872925602394</v>
          </cell>
        </row>
        <row r="770">
          <cell r="B770" t="str">
            <v>D-EWST</v>
          </cell>
          <cell r="C770" t="str">
            <v>VAR_fin</v>
          </cell>
          <cell r="D770" t="str">
            <v>WSTREN</v>
          </cell>
          <cell r="E770">
            <v>24.101732249961113</v>
          </cell>
          <cell r="F770">
            <v>24.146663619559014</v>
          </cell>
          <cell r="G770">
            <v>24.448079785290265</v>
          </cell>
          <cell r="H770">
            <v>24.416162235280787</v>
          </cell>
          <cell r="I770">
            <v>24.419166237754723</v>
          </cell>
          <cell r="J770">
            <v>24.971872925602394</v>
          </cell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265.28326542682578</v>
          </cell>
          <cell r="E4">
            <v>125.23944433405158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4.038450766879962E-2</v>
          </cell>
          <cell r="E5">
            <v>6.5773726020477994E-3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162.72611173189324</v>
          </cell>
          <cell r="E6">
            <v>116.23438875426632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102.51676918726355</v>
          </cell>
          <cell r="E7">
            <v>8.9984782071832807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0.91108766728008261</v>
          </cell>
          <cell r="E8">
            <v>1140.9251144015086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0.16952336822699518</v>
          </cell>
          <cell r="E9">
            <v>405.33732876233347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1.0168849670891891</v>
          </cell>
          <cell r="E10">
            <v>1088.6114122475767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76.40467186598994</v>
          </cell>
          <cell r="E11">
            <v>714.96049128426648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0.11746254106462783</v>
          </cell>
          <cell r="E12">
            <v>1.1026369062385522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4.755491500290321E-3</v>
          </cell>
          <cell r="E13">
            <v>2.0637694511079399E-2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186.34921703731848</v>
          </cell>
          <cell r="E14">
            <v>863.35958939574039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0.25797925845966957</v>
          </cell>
          <cell r="E15">
            <v>475.77398809597668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4.2679830658152229E-2</v>
          </cell>
          <cell r="E16">
            <v>1030.0833863208234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1026.0853596698394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2.0864604524908258E-2</v>
          </cell>
          <cell r="E18">
            <v>3.2895728581693678E-2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4.6573797638364188E-2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2.1452888201938017E-3</v>
          </cell>
          <cell r="E20">
            <v>7.0459853105246109E-4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2.7899668875568822E-3</v>
          </cell>
          <cell r="E21">
            <v>1.4450817954069873E-2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2.2035645257679048E-2</v>
          </cell>
          <cell r="E22">
            <v>7.2457642311821502E-2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265.28326542682578</v>
          </cell>
          <cell r="E23">
            <v>6746.4018431461345</v>
          </cell>
        </row>
        <row r="24">
          <cell r="A24" t="str">
            <v>CO2_X</v>
          </cell>
          <cell r="B24" t="str">
            <v>VAR_fout</v>
          </cell>
          <cell r="C24" t="str">
            <v>D-CO2_O</v>
          </cell>
          <cell r="E24">
            <v>6621.1623988121009</v>
          </cell>
        </row>
        <row r="25">
          <cell r="A25" t="str">
            <v>CO2_X</v>
          </cell>
          <cell r="B25" t="str">
            <v>VAR_fin</v>
          </cell>
          <cell r="C25" t="str">
            <v>CO2EXP</v>
          </cell>
          <cell r="E25">
            <v>6621.1623988121009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0.56759907983670199</v>
          </cell>
          <cell r="F4">
            <v>6.8547437827306201E-4</v>
          </cell>
          <cell r="G4">
            <v>1.6795918747915191E-4</v>
          </cell>
          <cell r="H4">
            <v>2.1245477931241868E-4</v>
          </cell>
          <cell r="I4">
            <v>5.9929032381507202E-4</v>
          </cell>
        </row>
        <row r="5">
          <cell r="A5" t="str">
            <v>EXPELC_DE</v>
          </cell>
          <cell r="C5" t="str">
            <v>ELC_E-DE</v>
          </cell>
          <cell r="D5">
            <v>26.49298076786706</v>
          </cell>
          <cell r="E5">
            <v>6.2609642751055737E-4</v>
          </cell>
          <cell r="F5">
            <v>6.8387274008087546E-4</v>
          </cell>
          <cell r="G5">
            <v>5.708662961383705E-4</v>
          </cell>
          <cell r="H5">
            <v>1.4452047289155111E-3</v>
          </cell>
          <cell r="I5">
            <v>4.5005527234929333E-4</v>
          </cell>
        </row>
        <row r="6">
          <cell r="A6" t="str">
            <v>IMPDSL</v>
          </cell>
          <cell r="C6" t="str">
            <v>DSL</v>
          </cell>
          <cell r="D6">
            <v>118.18558363065856</v>
          </cell>
          <cell r="E6">
            <v>110.97902211607882</v>
          </cell>
          <cell r="F6">
            <v>90.512536075592266</v>
          </cell>
          <cell r="G6">
            <v>55.297438038122571</v>
          </cell>
          <cell r="H6">
            <v>40.885319735837093</v>
          </cell>
        </row>
        <row r="7">
          <cell r="A7" t="str">
            <v>IMPELC_AT</v>
          </cell>
          <cell r="C7" t="str">
            <v>ELC_I-AT</v>
          </cell>
          <cell r="D7">
            <v>15.013806715456084</v>
          </cell>
          <cell r="E7">
            <v>8.106216161502358</v>
          </cell>
          <cell r="F7">
            <v>2.5294331896567166</v>
          </cell>
          <cell r="G7">
            <v>1.7627453361222949</v>
          </cell>
          <cell r="H7">
            <v>4.5692894504082</v>
          </cell>
          <cell r="I7">
            <v>4.3838219769957165</v>
          </cell>
        </row>
        <row r="8">
          <cell r="A8" t="str">
            <v>IMPELC_AT</v>
          </cell>
          <cell r="C8" t="str">
            <v>ELCS</v>
          </cell>
          <cell r="D8">
            <v>15.013806715456084</v>
          </cell>
          <cell r="E8">
            <v>8.106216161502358</v>
          </cell>
          <cell r="F8">
            <v>2.5294331896567166</v>
          </cell>
          <cell r="G8">
            <v>1.7627453361222949</v>
          </cell>
          <cell r="H8">
            <v>4.5692894504082</v>
          </cell>
          <cell r="I8">
            <v>4.3838219769957165</v>
          </cell>
        </row>
        <row r="9">
          <cell r="A9" t="str">
            <v>IMPELC_FR</v>
          </cell>
          <cell r="C9" t="str">
            <v>ELC_I-FR</v>
          </cell>
          <cell r="D9">
            <v>28.948622095482548</v>
          </cell>
          <cell r="E9">
            <v>24.255042997344081</v>
          </cell>
          <cell r="F9">
            <v>29.089280127419361</v>
          </cell>
          <cell r="G9">
            <v>15.063902073995603</v>
          </cell>
          <cell r="H9">
            <v>10.609364136600256</v>
          </cell>
          <cell r="I9">
            <v>7.24713848606679</v>
          </cell>
        </row>
        <row r="10">
          <cell r="A10" t="str">
            <v>IMPELC_FR</v>
          </cell>
          <cell r="C10" t="str">
            <v>ELCS</v>
          </cell>
          <cell r="D10">
            <v>28.948622095482548</v>
          </cell>
          <cell r="E10">
            <v>24.255042997344081</v>
          </cell>
          <cell r="F10">
            <v>29.089280127419361</v>
          </cell>
          <cell r="G10">
            <v>15.063902073995603</v>
          </cell>
          <cell r="H10">
            <v>10.609364136600256</v>
          </cell>
          <cell r="I10">
            <v>7.24713848606679</v>
          </cell>
        </row>
        <row r="11">
          <cell r="A11" t="str">
            <v>RNWHYDR1</v>
          </cell>
          <cell r="C11" t="str">
            <v>HYDR</v>
          </cell>
          <cell r="D11">
            <v>66.632402450036025</v>
          </cell>
          <cell r="E11">
            <v>55.764000771154613</v>
          </cell>
          <cell r="F11">
            <v>65.550470630124607</v>
          </cell>
          <cell r="G11">
            <v>64.491829575698375</v>
          </cell>
          <cell r="H11">
            <v>62.323588762492022</v>
          </cell>
          <cell r="I11">
            <v>60.977329968934761</v>
          </cell>
        </row>
        <row r="12">
          <cell r="A12" t="str">
            <v>EXPELC_IT</v>
          </cell>
          <cell r="C12" t="str">
            <v>ELC_E-IT</v>
          </cell>
          <cell r="D12">
            <v>71.694108044440583</v>
          </cell>
          <cell r="E12">
            <v>35.900448721567876</v>
          </cell>
          <cell r="F12">
            <v>50.982217153771721</v>
          </cell>
          <cell r="G12">
            <v>25.81930012086486</v>
          </cell>
          <cell r="H12">
            <v>14.84345941293849</v>
          </cell>
          <cell r="I12">
            <v>17.26924040218266</v>
          </cell>
        </row>
        <row r="13">
          <cell r="A13" t="str">
            <v>IMPLNG</v>
          </cell>
          <cell r="C13" t="str">
            <v>LBIO</v>
          </cell>
          <cell r="G13">
            <v>3.6457922243657997E-4</v>
          </cell>
          <cell r="H13">
            <v>2.1341548909453794</v>
          </cell>
          <cell r="I13">
            <v>2.1351497831844641</v>
          </cell>
        </row>
        <row r="14">
          <cell r="A14" t="str">
            <v>IMPLNG</v>
          </cell>
          <cell r="C14" t="str">
            <v>LNGA</v>
          </cell>
          <cell r="G14">
            <v>1.9269051429701702E-3</v>
          </cell>
          <cell r="H14">
            <v>1.5404699141910213E-3</v>
          </cell>
          <cell r="I14">
            <v>5.4970792176133455E-4</v>
          </cell>
        </row>
        <row r="15">
          <cell r="A15" t="str">
            <v>IMPURN1</v>
          </cell>
          <cell r="C15" t="str">
            <v>URN</v>
          </cell>
          <cell r="D15">
            <v>250.94821011274584</v>
          </cell>
          <cell r="E15">
            <v>253.2994782931132</v>
          </cell>
          <cell r="F15">
            <v>215.81740613283452</v>
          </cell>
          <cell r="G15">
            <v>209.64537929856593</v>
          </cell>
          <cell r="H15">
            <v>98.947522733277125</v>
          </cell>
          <cell r="I15">
            <v>6.49878655905114E-6</v>
          </cell>
        </row>
        <row r="16">
          <cell r="A16" t="str">
            <v>EXPELC_AT</v>
          </cell>
          <cell r="C16" t="str">
            <v>ELC_E-AT</v>
          </cell>
          <cell r="D16">
            <v>6.2295570401311942</v>
          </cell>
          <cell r="E16">
            <v>9.6662348462639241E-4</v>
          </cell>
          <cell r="F16">
            <v>1.0838486885154177E-3</v>
          </cell>
          <cell r="G16">
            <v>2.1214917678608218E-4</v>
          </cell>
          <cell r="H16">
            <v>1.9332860212298189E-4</v>
          </cell>
          <cell r="I16">
            <v>1.2935574681965773E-4</v>
          </cell>
        </row>
        <row r="17">
          <cell r="A17" t="str">
            <v>EXPELC_FR</v>
          </cell>
          <cell r="C17" t="str">
            <v>ELC_E-FR</v>
          </cell>
          <cell r="D17">
            <v>12.753360393300385</v>
          </cell>
          <cell r="E17">
            <v>7.5843075427844671E-4</v>
          </cell>
          <cell r="F17">
            <v>7.0388289433131958E-4</v>
          </cell>
          <cell r="G17">
            <v>2.8495949801811199E-4</v>
          </cell>
          <cell r="H17">
            <v>1.0572944452442526E-3</v>
          </cell>
          <cell r="I17">
            <v>7.0234930317277866E-4</v>
          </cell>
        </row>
        <row r="18">
          <cell r="A18" t="str">
            <v>RNWWND1</v>
          </cell>
          <cell r="C18" t="str">
            <v>WND</v>
          </cell>
          <cell r="D18">
            <v>0.52034331612325602</v>
          </cell>
          <cell r="E18">
            <v>0.54160924137693001</v>
          </cell>
          <cell r="F18">
            <v>0.49951179762172537</v>
          </cell>
          <cell r="G18">
            <v>1.0844435425239125</v>
          </cell>
          <cell r="H18">
            <v>2.5199981018550006</v>
          </cell>
          <cell r="I18">
            <v>2.5200022080148918</v>
          </cell>
        </row>
        <row r="19">
          <cell r="A19" t="str">
            <v>RNWWND2</v>
          </cell>
          <cell r="C19" t="str">
            <v>WND</v>
          </cell>
          <cell r="D19">
            <v>1.2513973398256507E-3</v>
          </cell>
          <cell r="E19">
            <v>1.2536153972607202E-3</v>
          </cell>
          <cell r="F19">
            <v>1.2681039119268212E-3</v>
          </cell>
          <cell r="G19">
            <v>1.2934591848601262E-3</v>
          </cell>
          <cell r="H19">
            <v>0.53270333277974458</v>
          </cell>
          <cell r="I19">
            <v>3.593023825257498</v>
          </cell>
        </row>
        <row r="20">
          <cell r="A20" t="str">
            <v>RNWMNR1</v>
          </cell>
          <cell r="C20" t="str">
            <v>MNR</v>
          </cell>
          <cell r="D20">
            <v>3.7742748239544857</v>
          </cell>
          <cell r="E20">
            <v>4.7600041693892541</v>
          </cell>
          <cell r="F20">
            <v>5.113336425901494</v>
          </cell>
          <cell r="G20">
            <v>5.7022349028882848</v>
          </cell>
          <cell r="H20">
            <v>7.1940762063346462</v>
          </cell>
          <cell r="I20">
            <v>8.9999997452566927</v>
          </cell>
        </row>
        <row r="21">
          <cell r="A21" t="str">
            <v>RNWWND3</v>
          </cell>
          <cell r="C21" t="str">
            <v>WND</v>
          </cell>
          <cell r="D21">
            <v>1.1290195540247263E-3</v>
          </cell>
          <cell r="E21">
            <v>1.1304484981832477E-3</v>
          </cell>
          <cell r="F21">
            <v>1.1448403054952229E-3</v>
          </cell>
          <cell r="G21">
            <v>1.1668490260450062E-3</v>
          </cell>
          <cell r="H21">
            <v>5.5184246823089854E-3</v>
          </cell>
          <cell r="I21">
            <v>5.6028343616486009E-3</v>
          </cell>
        </row>
        <row r="22">
          <cell r="A22" t="str">
            <v>RNWMNR2</v>
          </cell>
          <cell r="C22" t="str">
            <v>MNR</v>
          </cell>
          <cell r="D22">
            <v>1.5219622986868979E-2</v>
          </cell>
          <cell r="E22">
            <v>4.7530423099896293</v>
          </cell>
          <cell r="F22">
            <v>5.11229435952957</v>
          </cell>
          <cell r="G22">
            <v>5.7022335492884348</v>
          </cell>
          <cell r="H22">
            <v>7.1940702238793097</v>
          </cell>
          <cell r="I22">
            <v>8.9999992426143915</v>
          </cell>
        </row>
        <row r="23">
          <cell r="A23" t="str">
            <v>RNWWND4</v>
          </cell>
          <cell r="C23" t="str">
            <v>WND</v>
          </cell>
          <cell r="D23">
            <v>6.9533179690720428E-4</v>
          </cell>
          <cell r="E23">
            <v>6.9391347382048133E-4</v>
          </cell>
          <cell r="F23">
            <v>7.055540390022558E-4</v>
          </cell>
          <cell r="G23">
            <v>7.1610413479711603E-4</v>
          </cell>
          <cell r="H23">
            <v>1.0125788817274227E-3</v>
          </cell>
          <cell r="I23">
            <v>7.8803851467387092E-4</v>
          </cell>
        </row>
        <row r="24">
          <cell r="A24" t="str">
            <v>RNWMNR3</v>
          </cell>
          <cell r="C24" t="str">
            <v>MNR</v>
          </cell>
          <cell r="D24">
            <v>8.5961863089716543E-3</v>
          </cell>
          <cell r="E24">
            <v>0.19812906318333892</v>
          </cell>
          <cell r="F24">
            <v>2.1115787050870322E-2</v>
          </cell>
          <cell r="G24">
            <v>5.7022325198989083</v>
          </cell>
          <cell r="H24">
            <v>7.1936824161777722</v>
          </cell>
          <cell r="I24">
            <v>8.9999986018951112</v>
          </cell>
        </row>
        <row r="25">
          <cell r="A25" t="str">
            <v>IMPLFO1</v>
          </cell>
          <cell r="C25" t="str">
            <v>LFO</v>
          </cell>
          <cell r="D25">
            <v>101.74882372142358</v>
          </cell>
          <cell r="E25">
            <v>90.977412950447899</v>
          </cell>
          <cell r="F25">
            <v>81.188142391544474</v>
          </cell>
          <cell r="G25">
            <v>40.790094701003873</v>
          </cell>
          <cell r="H25">
            <v>8.3830738261320779</v>
          </cell>
        </row>
        <row r="26">
          <cell r="A26" t="str">
            <v>RNWWND5</v>
          </cell>
          <cell r="C26" t="str">
            <v>WND</v>
          </cell>
          <cell r="D26">
            <v>6.0757663011061849E-4</v>
          </cell>
          <cell r="E26">
            <v>6.0585640593035497E-4</v>
          </cell>
          <cell r="F26">
            <v>6.1615148447524215E-4</v>
          </cell>
          <cell r="G26">
            <v>6.2490405504297855E-4</v>
          </cell>
          <cell r="H26">
            <v>7.9399690692362229E-4</v>
          </cell>
          <cell r="I26">
            <v>5.9660176777378833E-4</v>
          </cell>
        </row>
        <row r="27">
          <cell r="A27" t="str">
            <v>IMPBNGA</v>
          </cell>
          <cell r="C27" t="str">
            <v>BIO</v>
          </cell>
          <cell r="E27">
            <v>0.2585954006651891</v>
          </cell>
          <cell r="F27">
            <v>0.84225325557528863</v>
          </cell>
          <cell r="G27">
            <v>4.0402519275642337E-3</v>
          </cell>
          <cell r="H27">
            <v>0.52282096519036969</v>
          </cell>
          <cell r="I27">
            <v>2.9529458551429607E-5</v>
          </cell>
        </row>
        <row r="28">
          <cell r="A28" t="str">
            <v>RNWGEO1</v>
          </cell>
          <cell r="C28" t="str">
            <v>GEO</v>
          </cell>
          <cell r="H28">
            <v>2.7015918262529635E-4</v>
          </cell>
          <cell r="I28">
            <v>2.9706990279826026E-4</v>
          </cell>
        </row>
        <row r="29">
          <cell r="A29" t="str">
            <v>RNWGEO2</v>
          </cell>
          <cell r="C29" t="str">
            <v>GEO</v>
          </cell>
          <cell r="H29">
            <v>2.6324196886583093E-4</v>
          </cell>
          <cell r="I29">
            <v>2.8831590956013867E-4</v>
          </cell>
        </row>
        <row r="30">
          <cell r="A30" t="str">
            <v>RNWGEO3</v>
          </cell>
          <cell r="C30" t="str">
            <v>GEO</v>
          </cell>
          <cell r="H30">
            <v>2.5041506197715261E-4</v>
          </cell>
          <cell r="I30">
            <v>2.7257879681557678E-4</v>
          </cell>
        </row>
        <row r="31">
          <cell r="A31" t="str">
            <v>RNWGEO4</v>
          </cell>
          <cell r="C31" t="str">
            <v>GEO</v>
          </cell>
          <cell r="H31">
            <v>2.4451763134435622E-4</v>
          </cell>
          <cell r="I31">
            <v>2.6540019045253574E-4</v>
          </cell>
        </row>
        <row r="32">
          <cell r="A32" t="str">
            <v>RNWGEO5</v>
          </cell>
          <cell r="C32" t="str">
            <v>GEO</v>
          </cell>
          <cell r="H32">
            <v>2.3890809092857524E-4</v>
          </cell>
          <cell r="I32">
            <v>2.5859333161578355E-4</v>
          </cell>
        </row>
        <row r="33">
          <cell r="A33" t="str">
            <v>IMPGSL</v>
          </cell>
          <cell r="C33" t="str">
            <v>GSL</v>
          </cell>
          <cell r="D33">
            <v>80.013074956190735</v>
          </cell>
          <cell r="E33">
            <v>79.973316981447425</v>
          </cell>
          <cell r="F33">
            <v>75.468305828037288</v>
          </cell>
          <cell r="G33">
            <v>48.866921378535025</v>
          </cell>
          <cell r="H33">
            <v>15.470620777683402</v>
          </cell>
        </row>
        <row r="34">
          <cell r="A34" t="str">
            <v>RNWWOD1</v>
          </cell>
          <cell r="C34" t="str">
            <v>WOD</v>
          </cell>
          <cell r="D34">
            <v>10.182340855969255</v>
          </cell>
          <cell r="E34">
            <v>11.152950504252237</v>
          </cell>
          <cell r="F34">
            <v>12.608865640444654</v>
          </cell>
          <cell r="G34">
            <v>15.035394083064421</v>
          </cell>
          <cell r="H34">
            <v>17.461918007693519</v>
          </cell>
          <cell r="I34">
            <v>17.461921492286304</v>
          </cell>
        </row>
        <row r="35">
          <cell r="A35" t="str">
            <v>RNWWOD2</v>
          </cell>
          <cell r="C35" t="str">
            <v>WOD</v>
          </cell>
          <cell r="D35">
            <v>7.4592177142325786</v>
          </cell>
          <cell r="E35">
            <v>8.0030401363863746</v>
          </cell>
          <cell r="F35">
            <v>8.8187744488884672</v>
          </cell>
          <cell r="G35">
            <v>10.17833424096615</v>
          </cell>
          <cell r="H35">
            <v>10.23078696789117</v>
          </cell>
          <cell r="I35">
            <v>7.616573514251237</v>
          </cell>
        </row>
        <row r="36">
          <cell r="A36" t="str">
            <v>RNWWOD3</v>
          </cell>
          <cell r="C36" t="str">
            <v>WOD</v>
          </cell>
          <cell r="D36">
            <v>2.6225295994194773</v>
          </cell>
          <cell r="E36">
            <v>3.2650034660076281</v>
          </cell>
          <cell r="F36">
            <v>4.2287158301637016</v>
          </cell>
          <cell r="G36">
            <v>5.834906642443821</v>
          </cell>
          <cell r="H36">
            <v>6.3806203135241182</v>
          </cell>
          <cell r="I36">
            <v>4.2596698746395036</v>
          </cell>
        </row>
        <row r="37">
          <cell r="A37" t="str">
            <v>RNWWOD4</v>
          </cell>
          <cell r="C37" t="str">
            <v>WOD</v>
          </cell>
          <cell r="D37">
            <v>16.967544545161843</v>
          </cell>
          <cell r="E37">
            <v>16.921789547832805</v>
          </cell>
          <cell r="F37">
            <v>16.853138996720141</v>
          </cell>
          <cell r="G37">
            <v>16.660147573465441</v>
          </cell>
          <cell r="H37">
            <v>13.635039256743838</v>
          </cell>
          <cell r="I37">
            <v>18.850971326909484</v>
          </cell>
        </row>
        <row r="38">
          <cell r="A38" t="str">
            <v>RNWWOD5</v>
          </cell>
          <cell r="C38" t="str">
            <v>WOD</v>
          </cell>
          <cell r="D38">
            <v>7.538371002805917</v>
          </cell>
          <cell r="E38">
            <v>7.9181096610379917</v>
          </cell>
          <cell r="F38">
            <v>4.7514317209254733</v>
          </cell>
          <cell r="G38">
            <v>1.2154560959029253E-3</v>
          </cell>
          <cell r="H38">
            <v>1.6373789337864348E-3</v>
          </cell>
          <cell r="I38">
            <v>9.5213853912332926E-4</v>
          </cell>
        </row>
        <row r="39">
          <cell r="A39" t="str">
            <v>RNNWWST1</v>
          </cell>
          <cell r="C39" t="str">
            <v>WSTNREN</v>
          </cell>
          <cell r="D39">
            <v>35.611737755538719</v>
          </cell>
          <cell r="E39">
            <v>35.882383632232298</v>
          </cell>
          <cell r="F39">
            <v>35.489471931755446</v>
          </cell>
          <cell r="G39">
            <v>35.687239319760643</v>
          </cell>
          <cell r="H39">
            <v>35.159449440546659</v>
          </cell>
          <cell r="I39">
            <v>35.603177939998382</v>
          </cell>
        </row>
        <row r="40">
          <cell r="A40" t="str">
            <v>RNWSOL1</v>
          </cell>
          <cell r="C40" t="str">
            <v>SOL</v>
          </cell>
          <cell r="D40">
            <v>12.556464090735391</v>
          </cell>
          <cell r="E40">
            <v>16.523486443896122</v>
          </cell>
          <cell r="F40">
            <v>30.858040072300597</v>
          </cell>
          <cell r="G40">
            <v>66.668628432263418</v>
          </cell>
          <cell r="H40">
            <v>83.069262292655594</v>
          </cell>
          <cell r="I40">
            <v>94.311255181394671</v>
          </cell>
        </row>
        <row r="41">
          <cell r="A41" t="str">
            <v>IMPHFO1</v>
          </cell>
          <cell r="C41" t="str">
            <v>HFO</v>
          </cell>
          <cell r="D41">
            <v>2.7763707016448524</v>
          </cell>
          <cell r="E41">
            <v>1.081085768202379E-3</v>
          </cell>
          <cell r="F41">
            <v>1.4178272934745203E-3</v>
          </cell>
          <cell r="G41">
            <v>2.3911578706083091E-3</v>
          </cell>
          <cell r="H41">
            <v>3.5988342891911493E-4</v>
          </cell>
        </row>
        <row r="42">
          <cell r="A42" t="str">
            <v>RNWHYDD1</v>
          </cell>
          <cell r="C42" t="str">
            <v>HYDD</v>
          </cell>
          <cell r="D42">
            <v>66.745680037910205</v>
          </cell>
          <cell r="E42">
            <v>49.798798199551499</v>
          </cell>
          <cell r="F42">
            <v>68.534871720406571</v>
          </cell>
          <cell r="G42">
            <v>70.207444882694645</v>
          </cell>
          <cell r="H42">
            <v>72.378790765899751</v>
          </cell>
          <cell r="I42">
            <v>74.335877429190859</v>
          </cell>
        </row>
        <row r="43">
          <cell r="A43" t="str">
            <v>IMPKER</v>
          </cell>
          <cell r="C43" t="str">
            <v>KER</v>
          </cell>
          <cell r="D43">
            <v>1.1093853663791744</v>
          </cell>
          <cell r="E43">
            <v>1.4052148835537817</v>
          </cell>
          <cell r="F43">
            <v>1.8489591593156731</v>
          </cell>
          <cell r="G43">
            <v>1.9927270942632898</v>
          </cell>
          <cell r="H43">
            <v>1.3506335785619019</v>
          </cell>
        </row>
        <row r="44">
          <cell r="A44" t="str">
            <v>IMPBDS</v>
          </cell>
          <cell r="C44" t="str">
            <v>BDS</v>
          </cell>
          <cell r="D44">
            <v>2.6250959484475453</v>
          </cell>
          <cell r="E44">
            <v>2.1695361516983525</v>
          </cell>
          <cell r="F44">
            <v>3.0155258333844555</v>
          </cell>
          <cell r="G44">
            <v>3.0161645859356057</v>
          </cell>
          <cell r="H44">
            <v>5.167066898263406</v>
          </cell>
          <cell r="I44">
            <v>28.613491305492403</v>
          </cell>
        </row>
        <row r="45">
          <cell r="A45" t="str">
            <v>IMPCOA1</v>
          </cell>
          <cell r="C45" t="str">
            <v>COA</v>
          </cell>
          <cell r="D45">
            <v>3.6600051305331891</v>
          </cell>
          <cell r="E45">
            <v>3.564717123139777</v>
          </cell>
          <cell r="F45">
            <v>2.8003703867176676E-2</v>
          </cell>
          <cell r="G45">
            <v>2.9402337953044606</v>
          </cell>
          <cell r="H45">
            <v>2.8655744040051055E-4</v>
          </cell>
          <cell r="I45">
            <v>2.1589792879176303E-4</v>
          </cell>
        </row>
        <row r="46">
          <cell r="A46" t="str">
            <v>IMPETH</v>
          </cell>
          <cell r="C46" t="str">
            <v>ETH</v>
          </cell>
          <cell r="D46">
            <v>4.434137253169868</v>
          </cell>
          <cell r="E46">
            <v>4.6311039337963038</v>
          </cell>
          <cell r="F46">
            <v>3.2014577266831106</v>
          </cell>
          <cell r="G46">
            <v>4.0390340501797946</v>
          </cell>
          <cell r="H46">
            <v>8.5305902791152572</v>
          </cell>
          <cell r="I46">
            <v>6.7834679273068179</v>
          </cell>
        </row>
        <row r="47">
          <cell r="A47" t="str">
            <v>IMPELC_DE</v>
          </cell>
          <cell r="C47" t="str">
            <v>ELC_I-DE</v>
          </cell>
          <cell r="D47">
            <v>46.39847637245709</v>
          </cell>
          <cell r="E47">
            <v>17.912514219815268</v>
          </cell>
          <cell r="F47">
            <v>15.04584803272096</v>
          </cell>
          <cell r="G47">
            <v>8.9935035238632786</v>
          </cell>
          <cell r="H47">
            <v>11.282104556099855</v>
          </cell>
          <cell r="I47">
            <v>5.9578342420837753</v>
          </cell>
        </row>
        <row r="48">
          <cell r="A48" t="str">
            <v>IMPELC_DE</v>
          </cell>
          <cell r="C48" t="str">
            <v>ELCS</v>
          </cell>
          <cell r="D48">
            <v>46.39847637245709</v>
          </cell>
          <cell r="E48">
            <v>17.912514219815268</v>
          </cell>
          <cell r="F48">
            <v>15.04584803272096</v>
          </cell>
          <cell r="G48">
            <v>8.9935035238632786</v>
          </cell>
          <cell r="H48">
            <v>11.282104556099855</v>
          </cell>
          <cell r="I48">
            <v>5.9578342420837753</v>
          </cell>
        </row>
        <row r="49">
          <cell r="A49" t="str">
            <v>RNWWST1</v>
          </cell>
          <cell r="C49" t="str">
            <v>WSTREN</v>
          </cell>
          <cell r="D49">
            <v>33.781103673222383</v>
          </cell>
          <cell r="E49">
            <v>33.781099568190768</v>
          </cell>
          <cell r="F49">
            <v>33.781099989467883</v>
          </cell>
          <cell r="G49">
            <v>36.316579913054518</v>
          </cell>
          <cell r="H49">
            <v>36.317671328797253</v>
          </cell>
          <cell r="I49">
            <v>41.899111263136042</v>
          </cell>
        </row>
        <row r="50">
          <cell r="A50" t="str">
            <v>IMPNGA1</v>
          </cell>
          <cell r="C50" t="str">
            <v>NGA</v>
          </cell>
          <cell r="D50">
            <v>117.09567308576945</v>
          </cell>
          <cell r="E50">
            <v>106.71999963060976</v>
          </cell>
          <cell r="F50">
            <v>101.73567034087385</v>
          </cell>
          <cell r="G50">
            <v>59.893155379343803</v>
          </cell>
          <cell r="H50">
            <v>25.853671967549111</v>
          </cell>
          <cell r="I50">
            <v>22.230350772463609</v>
          </cell>
        </row>
        <row r="51">
          <cell r="A51" t="str">
            <v>IMPELC_IT</v>
          </cell>
          <cell r="C51" t="str">
            <v>ELC_I-IT</v>
          </cell>
          <cell r="D51">
            <v>6.7990985550881309</v>
          </cell>
          <cell r="E51">
            <v>6.0792899532103933E-4</v>
          </cell>
          <cell r="F51">
            <v>5.2446214780446762E-4</v>
          </cell>
          <cell r="G51">
            <v>2.1697507094965455E-4</v>
          </cell>
          <cell r="H51">
            <v>2.5020750147710063E-4</v>
          </cell>
          <cell r="I51">
            <v>1.6764098993844422E-4</v>
          </cell>
        </row>
        <row r="52">
          <cell r="A52" t="str">
            <v>IMPELC_IT</v>
          </cell>
          <cell r="C52" t="str">
            <v>ELCS</v>
          </cell>
          <cell r="D52">
            <v>6.7990985550881309</v>
          </cell>
          <cell r="E52">
            <v>6.0792899532103933E-4</v>
          </cell>
          <cell r="F52">
            <v>5.2446214780446762E-4</v>
          </cell>
          <cell r="G52">
            <v>2.1697507094965455E-4</v>
          </cell>
          <cell r="H52">
            <v>2.5020750147710063E-4</v>
          </cell>
          <cell r="I52">
            <v>1.6764098993844422E-4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3.2682125806109812</v>
          </cell>
          <cell r="E4">
            <v>3.8319860908283032</v>
          </cell>
          <cell r="F4">
            <v>0.34203243828159013</v>
          </cell>
          <cell r="G4">
            <v>0.29937897128954905</v>
          </cell>
          <cell r="H4">
            <v>0.18121185037606524</v>
          </cell>
          <cell r="I4">
            <v>6.8025734102078128E-2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3.2682125806109812</v>
          </cell>
          <cell r="E5">
            <v>3.8319860908283032</v>
          </cell>
          <cell r="F5">
            <v>0.34203243828159013</v>
          </cell>
          <cell r="G5">
            <v>0.29937897128954905</v>
          </cell>
          <cell r="H5">
            <v>0.18121185037606524</v>
          </cell>
          <cell r="I5">
            <v>6.8025734102078128E-2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1.9600300892357961E-5</v>
          </cell>
          <cell r="F6">
            <v>2.0071822396449152E-4</v>
          </cell>
          <cell r="G6">
            <v>5.6765131403424865E-4</v>
          </cell>
          <cell r="H6">
            <v>3.2648921333869812E-4</v>
          </cell>
          <cell r="I6">
            <v>8.1179561735186139E-4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6.7949637832598E-7</v>
          </cell>
          <cell r="F7">
            <v>1.9268767747155767E-4</v>
          </cell>
          <cell r="G7">
            <v>5.6308787553229118E-4</v>
          </cell>
          <cell r="H7">
            <v>3.2491606704925977E-4</v>
          </cell>
          <cell r="I7">
            <v>8.1042444802461059E-4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1.6421703599984501E-4</v>
          </cell>
          <cell r="E8">
            <v>1.8133727795843001E-4</v>
          </cell>
          <cell r="F8">
            <v>4.1860437094109702E-5</v>
          </cell>
          <cell r="G8">
            <v>7.4377826208495899E-7</v>
          </cell>
          <cell r="H8">
            <v>6.1849293822002194E-5</v>
          </cell>
          <cell r="I8">
            <v>1.0593365496757301E-4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1.6421703599984501E-4</v>
          </cell>
          <cell r="E9">
            <v>3.4555431395827499E-4</v>
          </cell>
          <cell r="F9">
            <v>3.8741475105238401E-4</v>
          </cell>
          <cell r="G9">
            <v>3.8815852931446898E-4</v>
          </cell>
          <cell r="H9">
            <v>9.37383166839161E-5</v>
          </cell>
          <cell r="I9">
            <v>1.6095751780028299E-4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1.79353249928691E-3</v>
          </cell>
          <cell r="F10">
            <v>7.6383678097664998</v>
          </cell>
          <cell r="G10">
            <v>8.0209452287612404</v>
          </cell>
          <cell r="H10">
            <v>3.3327033669197199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2.1800626828736219E-5</v>
          </cell>
          <cell r="F11">
            <v>9.8393813395158305E-2</v>
          </cell>
          <cell r="G11">
            <v>0.10332199335601833</v>
          </cell>
          <cell r="H11">
            <v>4.2930296282254907E-2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2.4335583436728769E-5</v>
          </cell>
          <cell r="F12">
            <v>0.10364135427091586</v>
          </cell>
          <cell r="G12">
            <v>0.10883236402661099</v>
          </cell>
          <cell r="H12">
            <v>4.5219855724826584E-2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3.6518341576102803E-5</v>
          </cell>
          <cell r="F13">
            <v>1.88502706029719E-2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3.6518341576102803E-5</v>
          </cell>
          <cell r="F14">
            <v>1.8880236293192694E-2</v>
          </cell>
          <cell r="G14">
            <v>1.8873446301958145E-2</v>
          </cell>
          <cell r="H14">
            <v>3.3387351112755719E-3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5.9408509667283402</v>
          </cell>
          <cell r="G15">
            <v>18.3645707064634</v>
          </cell>
          <cell r="H15">
            <v>28.602763910333898</v>
          </cell>
          <cell r="I15">
            <v>28.499316766772001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0.20713910817813497</v>
          </cell>
          <cell r="G16">
            <v>0.65813834431991669</v>
          </cell>
          <cell r="H16">
            <v>1.0497513983655042</v>
          </cell>
          <cell r="I16">
            <v>1.0891073941206939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0.10533423699872964</v>
          </cell>
          <cell r="G17">
            <v>0.32561295578835836</v>
          </cell>
          <cell r="H17">
            <v>0.50714120408393504</v>
          </cell>
          <cell r="I17">
            <v>0.50530703487184481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0.20713910817813497</v>
          </cell>
          <cell r="G18">
            <v>0.65813834431991669</v>
          </cell>
          <cell r="H18">
            <v>1.0497513983655042</v>
          </cell>
          <cell r="I18">
            <v>1.0891073941206939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6.6300848654953996E-7</v>
          </cell>
          <cell r="F19">
            <v>1.51411393322891E-2</v>
          </cell>
          <cell r="G19">
            <v>3.28317931536092E-2</v>
          </cell>
          <cell r="H19">
            <v>3.4539334283222603E-2</v>
          </cell>
          <cell r="I19">
            <v>4.7398533204606401E-2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6.6300848654953996E-7</v>
          </cell>
          <cell r="F20">
            <v>1.51417110126235E-2</v>
          </cell>
          <cell r="G20">
            <v>4.7973432804423281E-2</v>
          </cell>
          <cell r="H20">
            <v>7.6509152883516354E-2</v>
          </cell>
          <cell r="I20">
            <v>7.9598427245568759E-2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0.46151931234418603</v>
          </cell>
          <cell r="E21">
            <v>0.54457532028075273</v>
          </cell>
          <cell r="F21">
            <v>0.54477805678716262</v>
          </cell>
          <cell r="G21">
            <v>0.5449710672560617</v>
          </cell>
          <cell r="H21">
            <v>0.58329708796409174</v>
          </cell>
          <cell r="I21">
            <v>0.58330202639452822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0.46151931234418603</v>
          </cell>
          <cell r="E22">
            <v>0.54457532028075273</v>
          </cell>
          <cell r="F22">
            <v>0.54477805678716262</v>
          </cell>
          <cell r="G22">
            <v>0.5449710672560617</v>
          </cell>
          <cell r="H22">
            <v>0.58329708796409174</v>
          </cell>
          <cell r="I22">
            <v>0.58330202639452822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0.62578889809381122</v>
          </cell>
          <cell r="E23">
            <v>0.73757379721998095</v>
          </cell>
          <cell r="F23">
            <v>0.73660131621926284</v>
          </cell>
          <cell r="G23">
            <v>0.73479245023289197</v>
          </cell>
          <cell r="H23">
            <v>0.78207430788481613</v>
          </cell>
          <cell r="I23">
            <v>0.77773603519270351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8.1361086807302096E-3</v>
          </cell>
          <cell r="F24">
            <v>4.9265120574951197E-5</v>
          </cell>
          <cell r="G24">
            <v>2.53809979641041E-5</v>
          </cell>
          <cell r="H24">
            <v>2.1872985763133401E-2</v>
          </cell>
          <cell r="I24">
            <v>1.1108730579411299E-2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3.7995187814062498E-2</v>
          </cell>
          <cell r="F25">
            <v>3.8026468740860721E-2</v>
          </cell>
          <cell r="G25">
            <v>3.8019784560807922E-2</v>
          </cell>
          <cell r="H25">
            <v>4.1593640679455209E-2</v>
          </cell>
          <cell r="I25">
            <v>3.5295416765451545E-2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5.5928110995988821E-4</v>
          </cell>
          <cell r="H26">
            <v>4.797963190871843E-4</v>
          </cell>
          <cell r="I26">
            <v>2.6050468788922556E-4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5.5968734086017386E-4</v>
          </cell>
          <cell r="H27">
            <v>4.8009693800923236E-4</v>
          </cell>
          <cell r="I27">
            <v>2.6063123283687195E-4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1.1152507648384789E-3</v>
          </cell>
          <cell r="H28">
            <v>9.5471935182740773E-4</v>
          </cell>
          <cell r="I28">
            <v>5.1837761962898873E-4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0.5204722519249334</v>
          </cell>
          <cell r="E29">
            <v>0.59724156304230469</v>
          </cell>
          <cell r="F29">
            <v>1.0316807384866846</v>
          </cell>
          <cell r="G29">
            <v>0.90940832884766654</v>
          </cell>
          <cell r="H29">
            <v>0.63610561737452154</v>
          </cell>
          <cell r="I29">
            <v>0.34498315199377616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1.0409445038498661</v>
          </cell>
          <cell r="E30">
            <v>1.1944831260846092</v>
          </cell>
          <cell r="F30">
            <v>2.3824063300653466</v>
          </cell>
          <cell r="G30">
            <v>2.0407888345843186</v>
          </cell>
          <cell r="H30">
            <v>1.3614674084975826</v>
          </cell>
          <cell r="I30">
            <v>0.69134258317911512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5.3865979642866097E-3</v>
          </cell>
          <cell r="F31">
            <v>2.7622107743807502E-2</v>
          </cell>
          <cell r="G31">
            <v>5.9888663235344398E-7</v>
          </cell>
          <cell r="H31">
            <v>2.6682443896908801E-2</v>
          </cell>
          <cell r="I31">
            <v>7.9048859596097805E-4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4.0708415571350139E-2</v>
          </cell>
          <cell r="F32">
            <v>6.8330348758635057E-2</v>
          </cell>
          <cell r="G32">
            <v>6.8328650068065377E-2</v>
          </cell>
          <cell r="H32">
            <v>4.5080583240468729E-2</v>
          </cell>
          <cell r="I32">
            <v>2.5867364884386849E-2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4.3871573818514884</v>
          </cell>
          <cell r="E33">
            <v>5.0342710223622431</v>
          </cell>
          <cell r="F33">
            <v>5.1177030620349422</v>
          </cell>
          <cell r="G33">
            <v>3.9355196819994411</v>
          </cell>
          <cell r="H33">
            <v>2.1676829016322943</v>
          </cell>
          <cell r="I33">
            <v>0.979760188679759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6.0932741414604044</v>
          </cell>
          <cell r="E34">
            <v>6.9920430866142294</v>
          </cell>
          <cell r="F34">
            <v>7.1858464680239207</v>
          </cell>
          <cell r="G34">
            <v>5.4461686109421112</v>
          </cell>
          <cell r="H34">
            <v>2.9579545565834047</v>
          </cell>
          <cell r="I34">
            <v>1.2880386149121212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5.2325413569004102E-2</v>
          </cell>
          <cell r="F35">
            <v>6.7106130830981202E-3</v>
          </cell>
          <cell r="G35">
            <v>2.7673974726486499E-7</v>
          </cell>
          <cell r="H35">
            <v>5.7580528970434801E-2</v>
          </cell>
          <cell r="I35">
            <v>1.8881376825483801E-7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0.40675336248037092</v>
          </cell>
          <cell r="F36">
            <v>0.41346387626972586</v>
          </cell>
          <cell r="G36">
            <v>0.41345333088317399</v>
          </cell>
          <cell r="H36">
            <v>0.17514164818209646</v>
          </cell>
          <cell r="I36">
            <v>9.1010059239978014E-2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1.9687006069120517E-3</v>
          </cell>
          <cell r="I37">
            <v>0.29705044766182154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1.988586471628335E-3</v>
          </cell>
          <cell r="I38">
            <v>0.30005095723416314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9.7939211932271595E-7</v>
          </cell>
          <cell r="H39">
            <v>6.4787042926445497E-4</v>
          </cell>
          <cell r="I39">
            <v>2.1426137543934201E-2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9.7939211932271595E-7</v>
          </cell>
          <cell r="H40">
            <v>6.5175945204555303E-4</v>
          </cell>
          <cell r="I40">
            <v>2.2077896995979701E-2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6.1735470721478336</v>
          </cell>
          <cell r="E41">
            <v>5.9732421746373658</v>
          </cell>
          <cell r="F41">
            <v>6.4896895008100994</v>
          </cell>
          <cell r="G41">
            <v>5.5653834919740071</v>
          </cell>
          <cell r="H41">
            <v>2.9214370701564256</v>
          </cell>
          <cell r="I41">
            <v>1.2769121992081476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8.5743709335386651</v>
          </cell>
          <cell r="E42">
            <v>8.2961696869963344</v>
          </cell>
          <cell r="F42">
            <v>9.6268647419586877</v>
          </cell>
          <cell r="G42">
            <v>8.2557407573467945</v>
          </cell>
          <cell r="H42">
            <v>4.3336864611210206</v>
          </cell>
          <cell r="I42">
            <v>1.7891525154500445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1.12854951754347E-5</v>
          </cell>
          <cell r="E43">
            <v>1.3781007478541401E-5</v>
          </cell>
          <cell r="F43">
            <v>2.3253607747985801E-2</v>
          </cell>
          <cell r="G43">
            <v>1.2662371169607101E-6</v>
          </cell>
          <cell r="H43">
            <v>4.6955834613918702E-2</v>
          </cell>
          <cell r="I43">
            <v>1.41884723679194E-2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0.47843156331228742</v>
          </cell>
          <cell r="E44">
            <v>0.47844495146888094</v>
          </cell>
          <cell r="F44">
            <v>0.50169788154208106</v>
          </cell>
          <cell r="G44">
            <v>0.50168041707417232</v>
          </cell>
          <cell r="H44">
            <v>0.2421886853248863</v>
          </cell>
          <cell r="I44">
            <v>0.12910554659052106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5.1850640044125473</v>
          </cell>
          <cell r="E45">
            <v>5.5675625121272372</v>
          </cell>
          <cell r="F45">
            <v>5.6486850368279837</v>
          </cell>
          <cell r="G45">
            <v>7.7324478170489348</v>
          </cell>
          <cell r="H45">
            <v>6.6731870303141108</v>
          </cell>
          <cell r="I45">
            <v>12.52882294606435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5.1850640044125473</v>
          </cell>
          <cell r="E46">
            <v>5.5675625121272372</v>
          </cell>
          <cell r="F46">
            <v>5.6486850368279837</v>
          </cell>
          <cell r="G46">
            <v>7.7324478170489348</v>
          </cell>
          <cell r="H46">
            <v>6.6731870303141108</v>
          </cell>
          <cell r="I46">
            <v>12.52882294606435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5.608650233099417</v>
          </cell>
          <cell r="E47">
            <v>6.0095248170332436</v>
          </cell>
          <cell r="F47">
            <v>6.0776026236545908</v>
          </cell>
          <cell r="G47">
            <v>8.2755137494454356</v>
          </cell>
          <cell r="H47">
            <v>7.0669782824574101</v>
          </cell>
          <cell r="I47">
            <v>13.188234680067744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3.7391045277430701E-2</v>
          </cell>
          <cell r="F48">
            <v>6.6189429689818793E-2</v>
          </cell>
          <cell r="G48">
            <v>0.161520090895383</v>
          </cell>
          <cell r="H48">
            <v>0.17947722377963499</v>
          </cell>
          <cell r="I48">
            <v>0.76291941956451204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0.32285695218487465</v>
          </cell>
          <cell r="F49">
            <v>0.35051633967787998</v>
          </cell>
          <cell r="G49">
            <v>0.47904191410133601</v>
          </cell>
          <cell r="H49">
            <v>0.49837823113176516</v>
          </cell>
          <cell r="I49">
            <v>0.97074341961138566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1.9327506277720852E-3</v>
          </cell>
          <cell r="G50">
            <v>1.5003977078557796E-2</v>
          </cell>
          <cell r="H50">
            <v>2.5656146485781481E-3</v>
          </cell>
          <cell r="I50">
            <v>5.3211609726971454E-4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1.9333105598307667E-3</v>
          </cell>
          <cell r="G51">
            <v>1.5004678802665398E-2</v>
          </cell>
          <cell r="H51">
            <v>2.5658442452328968E-3</v>
          </cell>
          <cell r="I51">
            <v>5.3286144571192649E-4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1.7985789674457001E-5</v>
          </cell>
          <cell r="E52">
            <v>7.6195379766186697E-6</v>
          </cell>
          <cell r="F52">
            <v>1.38924289902485E-2</v>
          </cell>
          <cell r="G52">
            <v>2.0404053854063801E-2</v>
          </cell>
          <cell r="H52">
            <v>3.0967395669119099E-2</v>
          </cell>
          <cell r="I52">
            <v>3.2272289279676902E-2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1.7990129514517504E-5</v>
          </cell>
          <cell r="E53">
            <v>1.0009813426757041E-6</v>
          </cell>
          <cell r="F53">
            <v>1.3889390786870719E-2</v>
          </cell>
          <cell r="G53">
            <v>3.4283045211004781E-2</v>
          </cell>
          <cell r="H53">
            <v>6.1232831101689894E-2</v>
          </cell>
          <cell r="I53">
            <v>6.0593328194565484E-2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5.4464632512395104E-2</v>
          </cell>
          <cell r="F54">
            <v>8.6988299242261105E-2</v>
          </cell>
          <cell r="G54">
            <v>0.16902751763053397</v>
          </cell>
          <cell r="H54">
            <v>0.18346372458079838</v>
          </cell>
          <cell r="I54">
            <v>0.20713050912734801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3.3867709503403738</v>
          </cell>
          <cell r="E55">
            <v>3.8270023946427858</v>
          </cell>
          <cell r="F55">
            <v>5.6158208826953615</v>
          </cell>
          <cell r="G55">
            <v>6.2824876911525349</v>
          </cell>
          <cell r="H55">
            <v>5.6087956237055989</v>
          </cell>
          <cell r="I55">
            <v>4.5509940992183617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3.1771110746873572</v>
          </cell>
          <cell r="E56">
            <v>3.5391931781513595</v>
          </cell>
          <cell r="F56">
            <v>2.0881722021592397</v>
          </cell>
          <cell r="G56">
            <v>2.691649730147784</v>
          </cell>
          <cell r="H56">
            <v>2.4651216628984689</v>
          </cell>
          <cell r="I56">
            <v>2.0671753608827617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1.7761253145540437</v>
          </cell>
          <cell r="E57">
            <v>1.8955018544771864</v>
          </cell>
          <cell r="F57">
            <v>2.1887240616063264</v>
          </cell>
          <cell r="G57">
            <v>2.8300125102285034</v>
          </cell>
          <cell r="H57">
            <v>0.3658194758030277</v>
          </cell>
          <cell r="I57">
            <v>0.86808533895011675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0.35009351495077856</v>
          </cell>
          <cell r="F58">
            <v>0.16351700903200794</v>
          </cell>
          <cell r="G58">
            <v>0.25079288758607143</v>
          </cell>
          <cell r="H58">
            <v>0.29224472529773654</v>
          </cell>
          <cell r="I58">
            <v>0.32272793743029093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9.2187361622619672</v>
          </cell>
          <cell r="E59">
            <v>10.684672670743058</v>
          </cell>
          <cell r="F59">
            <v>11.186977752532499</v>
          </cell>
          <cell r="G59">
            <v>13.432107365432747</v>
          </cell>
          <cell r="H59">
            <v>9.7248083899139068</v>
          </cell>
          <cell r="I59">
            <v>8.6802545009254839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0.627672432719526</v>
          </cell>
          <cell r="E60">
            <v>1.9890113906361402E-5</v>
          </cell>
          <cell r="F60">
            <v>3.2273070702410402E-7</v>
          </cell>
          <cell r="G60">
            <v>4.8466411937996105E-7</v>
          </cell>
          <cell r="H60">
            <v>2.5361279514624001E-7</v>
          </cell>
          <cell r="I60">
            <v>1.86565228372287E-7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0.627672432719526</v>
          </cell>
          <cell r="E61">
            <v>0.62769232283343301</v>
          </cell>
          <cell r="F61">
            <v>0.62769264556413995</v>
          </cell>
          <cell r="G61">
            <v>0.62769313022825901</v>
          </cell>
          <cell r="H61">
            <v>0.62769362372083803</v>
          </cell>
          <cell r="I61">
            <v>0.62769381028606597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1.3846582796703224E-2</v>
          </cell>
          <cell r="E62">
            <v>6.3096507447983358E-4</v>
          </cell>
          <cell r="F62">
            <v>1.6851192530529973E-3</v>
          </cell>
          <cell r="G62">
            <v>8.2159674667116648E-4</v>
          </cell>
          <cell r="H62">
            <v>0.38778276756102137</v>
          </cell>
          <cell r="I62">
            <v>0.27619163556186394</v>
          </cell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1.4129443294497491E-2</v>
          </cell>
          <cell r="E63">
            <v>6.3101452068762935E-4</v>
          </cell>
          <cell r="F63">
            <v>1.6827312404259118E-3</v>
          </cell>
          <cell r="G63">
            <v>8.2143921721181969E-4</v>
          </cell>
          <cell r="H63">
            <v>0.38113657637591691</v>
          </cell>
          <cell r="I63">
            <v>0.2736182129067633</v>
          </cell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2.7976026091200732E-2</v>
          </cell>
          <cell r="E64">
            <v>1.261979595167464E-3</v>
          </cell>
          <cell r="F64">
            <v>3.3611971196623436E-3</v>
          </cell>
          <cell r="G64">
            <v>1.643035963882986E-3</v>
          </cell>
          <cell r="H64">
            <v>0.76891934393693884</v>
          </cell>
          <cell r="I64">
            <v>0.54980984846862724</v>
          </cell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73.238344431977467</v>
          </cell>
          <cell r="E65">
            <v>78.574012460031298</v>
          </cell>
          <cell r="F65">
            <v>61.520717597048773</v>
          </cell>
          <cell r="G65">
            <v>60.178129616376687</v>
          </cell>
          <cell r="H65">
            <v>58.389534119109797</v>
          </cell>
          <cell r="I65">
            <v>56.312065935755079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9.1171673255251644</v>
          </cell>
          <cell r="F66">
            <v>2.4313682274276873</v>
          </cell>
          <cell r="G66">
            <v>5.3967417760463769</v>
          </cell>
          <cell r="H66">
            <v>10.155909707464019</v>
          </cell>
          <cell r="I66">
            <v>15.15474083548836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6.1735470721478336</v>
          </cell>
          <cell r="E67">
            <v>5.9732421746373658</v>
          </cell>
          <cell r="F67">
            <v>6.4896895008100994</v>
          </cell>
          <cell r="G67">
            <v>5.5653834919740071</v>
          </cell>
          <cell r="H67">
            <v>2.9214370701564256</v>
          </cell>
          <cell r="I67">
            <v>1.2769121992081476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5.55390389201371</v>
          </cell>
          <cell r="E68">
            <v>6.0159379218642766</v>
          </cell>
          <cell r="F68">
            <v>5.6545902971142619</v>
          </cell>
          <cell r="G68">
            <v>6.8875760159332504</v>
          </cell>
          <cell r="H68">
            <v>6.7414435002419273</v>
          </cell>
          <cell r="I68">
            <v>5.7519491176481576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2.3940378410733918</v>
          </cell>
          <cell r="E69">
            <v>0.22290821246622092</v>
          </cell>
          <cell r="F69">
            <v>0.48750147191083265</v>
          </cell>
          <cell r="G69">
            <v>0.28701855477731492</v>
          </cell>
          <cell r="H69">
            <v>0.198468174741874</v>
          </cell>
          <cell r="I69">
            <v>0.13941215221264236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1.2230677221121578</v>
          </cell>
          <cell r="E70">
            <v>1.3407675809272852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4.2612082320768216</v>
          </cell>
          <cell r="E71">
            <v>4.6176507503910722</v>
          </cell>
          <cell r="F71">
            <v>6.1208917944336401</v>
          </cell>
          <cell r="G71">
            <v>15.337580933447686</v>
          </cell>
          <cell r="H71">
            <v>26.672624512660747</v>
          </cell>
          <cell r="I71">
            <v>26.244104663508864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1.877072582999288</v>
          </cell>
          <cell r="E72">
            <v>2.1600829286872552</v>
          </cell>
          <cell r="F72">
            <v>0.18842554703360778</v>
          </cell>
          <cell r="G72">
            <v>0.16723658017175563</v>
          </cell>
          <cell r="H72">
            <v>8.8537314285752677E-2</v>
          </cell>
          <cell r="I72">
            <v>3.1466126322158637E-2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0.68565230245850972</v>
          </cell>
          <cell r="E73">
            <v>0.74269260046459773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0.62699905598304018</v>
          </cell>
          <cell r="E74">
            <v>0.68733697490795953</v>
          </cell>
          <cell r="F74">
            <v>0.55865807783254839</v>
          </cell>
          <cell r="G74">
            <v>0.80651277772234686</v>
          </cell>
          <cell r="H74">
            <v>1.166265722559803</v>
          </cell>
          <cell r="I74">
            <v>1.3447926462133828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24.189716743602261</v>
          </cell>
          <cell r="E75">
            <v>25.326921513210717</v>
          </cell>
          <cell r="F75">
            <v>18.182416815545189</v>
          </cell>
          <cell r="G75">
            <v>11.397224815994248</v>
          </cell>
          <cell r="H75">
            <v>1.9313171475499256</v>
          </cell>
          <cell r="I75">
            <v>0.82387843011120787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2.127183251805683</v>
          </cell>
          <cell r="G76">
            <v>4.3108407057401754</v>
          </cell>
          <cell r="H76">
            <v>6.5792113011833742</v>
          </cell>
          <cell r="I76">
            <v>5.4797401447735439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1.4100671589484046</v>
          </cell>
          <cell r="E77">
            <v>1.5273712667614767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24.843071828561985</v>
          </cell>
          <cell r="E78">
            <v>20.841933210187904</v>
          </cell>
          <cell r="F78">
            <v>19.279992613135196</v>
          </cell>
          <cell r="G78">
            <v>10.022013964569531</v>
          </cell>
          <cell r="H78">
            <v>1.9343196682658867</v>
          </cell>
          <cell r="I78">
            <v>6.5069620268638981E-2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6.7988193281046089E-5</v>
          </cell>
          <cell r="E79">
            <v>1.3886495563469035E-4</v>
          </cell>
          <cell r="F79">
            <v>6.5516216335531315E-4</v>
          </cell>
          <cell r="G79">
            <v>4.5462737119565574E-4</v>
          </cell>
          <cell r="H79">
            <v>7.5230031137107261E-4</v>
          </cell>
          <cell r="I79">
            <v>6.7252820564133169E-4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6.7988193281046089E-5</v>
          </cell>
          <cell r="E80">
            <v>1.3886495563469035E-4</v>
          </cell>
          <cell r="F80">
            <v>8.4541646892129165E-4</v>
          </cell>
          <cell r="G80">
            <v>5.6832904497955189E-4</v>
          </cell>
          <cell r="H80">
            <v>8.8193498017594054E-4</v>
          </cell>
          <cell r="I80">
            <v>7.3841748759494413E-4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2.8566322934875802E-3</v>
          </cell>
          <cell r="E81">
            <v>8.0665008311055902E-6</v>
          </cell>
          <cell r="F81">
            <v>5.02707512231169E-5</v>
          </cell>
          <cell r="G81">
            <v>3.6945007762013403E-5</v>
          </cell>
          <cell r="H81">
            <v>5.2987192427087698E-5</v>
          </cell>
          <cell r="I81">
            <v>7.8868915898880302E-5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2.8566322934875802E-3</v>
          </cell>
          <cell r="E82">
            <v>5.2317973169100068E-5</v>
          </cell>
          <cell r="F82">
            <v>9.6276816012640012E-5</v>
          </cell>
          <cell r="G82">
            <v>9.6589962972729992E-5</v>
          </cell>
          <cell r="H82">
            <v>1.0513186310532669E-4</v>
          </cell>
          <cell r="I82">
            <v>1.0170054786620469E-4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3.2816864493624566E-2</v>
          </cell>
          <cell r="F83">
            <v>4.8782817386596788E-2</v>
          </cell>
          <cell r="G83">
            <v>0.30287822051627772</v>
          </cell>
          <cell r="H83">
            <v>0.31282710053686225</v>
          </cell>
          <cell r="I83">
            <v>0.65772277225554776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3.2818349709174903E-2</v>
          </cell>
          <cell r="F84">
            <v>4.878434907324055E-2</v>
          </cell>
          <cell r="G84">
            <v>0.3028803544680308</v>
          </cell>
          <cell r="H84">
            <v>0.3128302782393198</v>
          </cell>
          <cell r="I84">
            <v>0.65772539838778743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1.24870780129754E-3</v>
          </cell>
          <cell r="F85">
            <v>5.6102899338895203E-4</v>
          </cell>
          <cell r="G85">
            <v>9.2454876427740095E-3</v>
          </cell>
          <cell r="H85">
            <v>1.02261179534946E-3</v>
          </cell>
          <cell r="I85">
            <v>2.41266854388596E-2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1.24870780129754E-3</v>
          </cell>
          <cell r="F86">
            <v>1.8090843802517282E-3</v>
          </cell>
          <cell r="G86">
            <v>1.1053325859958612E-2</v>
          </cell>
          <cell r="H86">
            <v>1.1478623454699544E-2</v>
          </cell>
          <cell r="I86">
            <v>2.7558087575320696E-2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1.8505398880634891E-3</v>
          </cell>
          <cell r="E87">
            <v>3.00916316183391E-5</v>
          </cell>
          <cell r="F87">
            <v>6.6583367061272599E-3</v>
          </cell>
          <cell r="G87">
            <v>3.6412173896362699E-5</v>
          </cell>
          <cell r="H87">
            <v>3.9732079998306222E-3</v>
          </cell>
          <cell r="I87">
            <v>3.4006834731929651E-3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>
            <v>1.3235679107189302E-6</v>
          </cell>
          <cell r="F88">
            <v>1.0612241984312535E-6</v>
          </cell>
          <cell r="G88">
            <v>8.0196115301101536E-7</v>
          </cell>
          <cell r="H88">
            <v>6.4422693430493723E-6</v>
          </cell>
          <cell r="I88">
            <v>6.4588580228724758E-6</v>
          </cell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3.1778388524126823E-2</v>
          </cell>
          <cell r="E89">
            <v>1.8599238633650265E-2</v>
          </cell>
          <cell r="F89">
            <v>8.8749647301971139E-4</v>
          </cell>
          <cell r="G89">
            <v>3.4241816650340744E-3</v>
          </cell>
          <cell r="H89">
            <v>1.3414216583494643E-3</v>
          </cell>
          <cell r="I89"/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3.3628928412190312E-2</v>
          </cell>
          <cell r="E90">
            <v>1.8631622015180135E-2</v>
          </cell>
          <cell r="F90">
            <v>7.5482807795444655E-3</v>
          </cell>
          <cell r="G90">
            <v>3.4628089305177166E-3</v>
          </cell>
          <cell r="H90">
            <v>5.3215324034677752E-3</v>
          </cell>
          <cell r="I90">
            <v>3.4074779863500861E-3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3.5600042894966295</v>
          </cell>
          <cell r="E91">
            <v>3.4647174424554592</v>
          </cell>
          <cell r="F91">
            <v>2.0975039171255492E-3</v>
          </cell>
          <cell r="G91">
            <v>2.9402337953044606</v>
          </cell>
          <cell r="H91">
            <v>2.8655744040051055E-4</v>
          </cell>
          <cell r="I91">
            <v>2.1589792879176303E-4</v>
          </cell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330.01239763633799</v>
          </cell>
          <cell r="E92">
            <v>321.179306915621</v>
          </cell>
          <cell r="F92">
            <v>0.19443861311753899</v>
          </cell>
          <cell r="G92">
            <v>272.55967282472301</v>
          </cell>
          <cell r="H92">
            <v>2.65638747251273E-2</v>
          </cell>
          <cell r="I92">
            <v>2.00137379989964E-2</v>
          </cell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3.5600042894966295</v>
          </cell>
          <cell r="E93">
            <v>3.4647174424554592</v>
          </cell>
          <cell r="F93">
            <v>2.0975039171255492E-3</v>
          </cell>
          <cell r="G93">
            <v>2.9402337953044606</v>
          </cell>
          <cell r="H93">
            <v>2.8655744040051055E-4</v>
          </cell>
          <cell r="I93">
            <v>2.1589792879176303E-4</v>
          </cell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1.3011953794717665E-2</v>
          </cell>
          <cell r="E94">
            <v>0.78033336010019949</v>
          </cell>
          <cell r="F94">
            <v>0.49186334481806482</v>
          </cell>
          <cell r="G94">
            <v>2.7493355305851037</v>
          </cell>
          <cell r="H94">
            <v>3.7184535628475257</v>
          </cell>
          <cell r="I94">
            <v>4.2470208922743664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1.3011953794717665E-2</v>
          </cell>
          <cell r="E95">
            <v>0.78033336010019949</v>
          </cell>
          <cell r="F95">
            <v>0.49186334481806482</v>
          </cell>
          <cell r="G95">
            <v>2.7493355305851037</v>
          </cell>
          <cell r="H95">
            <v>3.7184535628475257</v>
          </cell>
          <cell r="I95">
            <v>4.2470208922743664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2.75515115600217E-2</v>
          </cell>
          <cell r="E96">
            <v>2.7551506633661699E-2</v>
          </cell>
          <cell r="F96">
            <v>4.2907980720379598E-7</v>
          </cell>
          <cell r="G96">
            <v>0.13904863959722699</v>
          </cell>
          <cell r="H96">
            <v>4.6220506542553501E-6</v>
          </cell>
          <cell r="I96">
            <v>6.2679692084475394E-2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2.75515115600217E-2</v>
          </cell>
          <cell r="E97">
            <v>5.5103006317076014E-2</v>
          </cell>
          <cell r="F97">
            <v>5.5103093422560076E-2</v>
          </cell>
          <cell r="G97">
            <v>0.19415194963712312</v>
          </cell>
          <cell r="H97">
            <v>0.26259039533266121</v>
          </cell>
          <cell r="I97">
            <v>0.29991184729165582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4.6280306666607567</v>
          </cell>
          <cell r="E98">
            <v>1.6615878181022246</v>
          </cell>
          <cell r="F98">
            <v>3.3407136872691715E-2</v>
          </cell>
          <cell r="G98">
            <v>7.3993140611242512E-3</v>
          </cell>
          <cell r="H98">
            <v>2.0758634325316857E-3</v>
          </cell>
          <cell r="I98">
            <v>1.14913154063652E-3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4.8716112280639505</v>
          </cell>
          <cell r="E99">
            <v>1.7490398085286563</v>
          </cell>
          <cell r="F99">
            <v>3.6489519838381529E-2</v>
          </cell>
          <cell r="G99">
            <v>8.0820280484591531E-3</v>
          </cell>
          <cell r="H99">
            <v>2.2278395483562139E-3</v>
          </cell>
          <cell r="I99">
            <v>1.209612148038441E-3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9.4200640430732598E-7</v>
          </cell>
          <cell r="E100">
            <v>7.7293721142732297E-7</v>
          </cell>
          <cell r="F100">
            <v>6.0738667150834199E-7</v>
          </cell>
          <cell r="G100">
            <v>8.8012845273907196E-7</v>
          </cell>
          <cell r="H100">
            <v>1.5124321987287101E-4</v>
          </cell>
          <cell r="I100">
            <v>4.9190121263641096E-7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0.3268020859547433</v>
          </cell>
          <cell r="E101">
            <v>0.1906394008500267</v>
          </cell>
          <cell r="F101">
            <v>4.2043971088342458E-3</v>
          </cell>
          <cell r="G101">
            <v>9.5922082846294776E-4</v>
          </cell>
          <cell r="H101">
            <v>2.327160831910932E-4</v>
          </cell>
          <cell r="I101">
            <v>1.4167969406384459E-4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2.5619050401151267E-3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2.5619050401151267E-3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2.5877828688031556E-3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3.1002339537287201E-4</v>
          </cell>
          <cell r="F105">
            <v>2.86064784631111E-4</v>
          </cell>
          <cell r="G105">
            <v>2.5534033585326399E-4</v>
          </cell>
          <cell r="H105">
            <v>1.8424600529696199E-2</v>
          </cell>
          <cell r="I105">
            <v>1.24740671040229E-2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3.1002339537287201E-4</v>
          </cell>
          <cell r="F106">
            <v>3.8571500580313707E-4</v>
          </cell>
          <cell r="G106">
            <v>4.4077727537990405E-4</v>
          </cell>
          <cell r="H106">
            <v>4.0548408527748998E-2</v>
          </cell>
          <cell r="I106">
            <v>2.4576285788686196E-2</v>
          </cell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1.3893209671316195E-2</v>
          </cell>
          <cell r="E107">
            <v>1.2153896700108873</v>
          </cell>
          <cell r="F107">
            <v>0.75697543653616817</v>
          </cell>
          <cell r="G107">
            <v>1.2153464338869862</v>
          </cell>
          <cell r="H107">
            <v>4.0245832507034418</v>
          </cell>
          <cell r="I107">
            <v>6.6148244871715596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1.3893209671316195E-2</v>
          </cell>
          <cell r="E108">
            <v>1.2153896700108873</v>
          </cell>
          <cell r="F108">
            <v>0.75697543653616817</v>
          </cell>
          <cell r="G108">
            <v>1.2153464338869862</v>
          </cell>
          <cell r="H108">
            <v>4.0245832507034418</v>
          </cell>
          <cell r="I108">
            <v>6.6148244871715596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4.2912051142865601E-2</v>
          </cell>
          <cell r="E109">
            <v>4.2912042951392601E-2</v>
          </cell>
          <cell r="F109">
            <v>3.5187842080196501E-7</v>
          </cell>
          <cell r="G109">
            <v>6.9269289727193404E-6</v>
          </cell>
          <cell r="H109">
            <v>5.0486753985453499E-2</v>
          </cell>
          <cell r="I109">
            <v>0.222396807487619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4.2912051142865601E-2</v>
          </cell>
          <cell r="E110">
            <v>8.5824081563146568E-2</v>
          </cell>
          <cell r="F110">
            <v>8.5824088603106224E-2</v>
          </cell>
          <cell r="G110">
            <v>8.5831237118075401E-2</v>
          </cell>
          <cell r="H110">
            <v>0.28420725204253489</v>
          </cell>
          <cell r="I110">
            <v>0.467108109009511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2.5529930352733089E-3</v>
          </cell>
          <cell r="E111">
            <v>1.952036988282756E-4</v>
          </cell>
          <cell r="F111">
            <v>2.1538128931185749E-3</v>
          </cell>
          <cell r="G111">
            <v>6.7042185517886049E-3</v>
          </cell>
          <cell r="H111">
            <v>2.1431745817936591E-3</v>
          </cell>
          <cell r="I111">
            <v>1.5544020687988018E-3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1.1095554791733624E-5</v>
          </cell>
          <cell r="E112">
            <v>8.3436626362875624E-6</v>
          </cell>
          <cell r="F112">
            <v>3.7483535078824885E-6</v>
          </cell>
          <cell r="G112">
            <v>1.534394539006284E-3</v>
          </cell>
          <cell r="H112"/>
          <cell r="I112">
            <v>7.6397504277194133E-4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1.3549295782097681E-5</v>
          </cell>
          <cell r="E113">
            <v>4.1705768488149535E-6</v>
          </cell>
          <cell r="F113">
            <v>1.2892718492631271E-6</v>
          </cell>
          <cell r="G113"/>
          <cell r="H113"/>
          <cell r="I113">
            <v>7.9042702602686058E-4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5.7495955457286332E-6</v>
          </cell>
          <cell r="E114">
            <v>7.2104138074686856E-6</v>
          </cell>
          <cell r="F114">
            <v>2.5193652113733498E-6</v>
          </cell>
          <cell r="G114">
            <v>1.6419297722102989E-4</v>
          </cell>
          <cell r="H114"/>
          <cell r="I114"/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1.0139741992884585E-5</v>
          </cell>
          <cell r="E115">
            <v>7.3798682186242404E-6</v>
          </cell>
          <cell r="F115">
            <v>9.3021589413540865E-7</v>
          </cell>
          <cell r="G115">
            <v>4.6851509121621776E-4</v>
          </cell>
          <cell r="H115">
            <v>8.0175292344419511E-4</v>
          </cell>
          <cell r="I115"/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1.8365981588810212E-3</v>
          </cell>
          <cell r="E116">
            <v>8.6275555699680278E-5</v>
          </cell>
          <cell r="F116">
            <v>4.3057558996789278E-4</v>
          </cell>
          <cell r="G116">
            <v>1.1061362962395689E-3</v>
          </cell>
          <cell r="H116"/>
          <cell r="I116"/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1.084790555946389E-5</v>
          </cell>
          <cell r="E117">
            <v>1.2669601936450318E-5</v>
          </cell>
          <cell r="F117">
            <v>5.5764970399084578E-4</v>
          </cell>
          <cell r="G117">
            <v>6.7979830714264803E-6</v>
          </cell>
          <cell r="H117"/>
          <cell r="I117"/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6.5245735414949516E-4</v>
          </cell>
          <cell r="E118">
            <v>6.9154019680949669E-5</v>
          </cell>
          <cell r="F118">
            <v>8.8749647301971139E-4</v>
          </cell>
          <cell r="G118">
            <v>3.4241816650340744E-3</v>
          </cell>
          <cell r="H118">
            <v>1.3414216583494643E-3</v>
          </cell>
          <cell r="I118"/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1.2555428570884828E-5</v>
          </cell>
          <cell r="E119"/>
          <cell r="F119">
            <v>2.6960391967747056E-4</v>
          </cell>
          <cell r="G119"/>
          <cell r="H119"/>
          <cell r="I119"/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3.7988620356524698E-4</v>
          </cell>
          <cell r="H120">
            <v>1.5033865241044199E-4</v>
          </cell>
          <cell r="I120">
            <v>7.95683191523713E-5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3.7988620356524698E-4</v>
          </cell>
          <cell r="H121">
            <v>2.9939478794663597E-4</v>
          </cell>
          <cell r="I121">
            <v>1.3737599932063798E-4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1.1095554791733624E-5</v>
          </cell>
          <cell r="E122">
            <v>8.3436626362875624E-6</v>
          </cell>
          <cell r="F122">
            <v>3.7483535078824885E-6</v>
          </cell>
          <cell r="G122">
            <v>1.534394539006284E-3</v>
          </cell>
          <cell r="H122"/>
          <cell r="I122">
            <v>7.6397504277194133E-4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9.8537963048515821E-6</v>
          </cell>
          <cell r="E123">
            <v>1.534772683205011E-5</v>
          </cell>
          <cell r="F123">
            <v>4.6900053258428915E-6</v>
          </cell>
          <cell r="G123">
            <v>5.385139636205568E-3</v>
          </cell>
          <cell r="H123">
            <v>3.6277482661817417E-3</v>
          </cell>
          <cell r="I123">
            <v>1.5190778415537609E-3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LTH</v>
          </cell>
          <cell r="D124"/>
          <cell r="E124"/>
          <cell r="F124"/>
          <cell r="G124">
            <v>3.8893748918007308E-6</v>
          </cell>
          <cell r="H124">
            <v>4.4997848706355501E-6</v>
          </cell>
          <cell r="I124">
            <v>3.7554924748079118E-6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>
            <v>2.0949351096585204E-5</v>
          </cell>
          <cell r="E125">
            <v>2.4299916696259326E-5</v>
          </cell>
          <cell r="F125">
            <v>8.977818480953056E-6</v>
          </cell>
          <cell r="G125">
            <v>6.9237780096206352E-3</v>
          </cell>
          <cell r="H125">
            <v>3.6324630152862651E-3</v>
          </cell>
          <cell r="I125">
            <v>2.2874431466549344E-3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3.1453399639404815</v>
          </cell>
          <cell r="E126">
            <v>3.5038012463698496</v>
          </cell>
          <cell r="F126">
            <v>1.8633910303678909</v>
          </cell>
          <cell r="G126">
            <v>2.4073951699893472</v>
          </cell>
          <cell r="H126">
            <v>2.1982808601097523</v>
          </cell>
          <cell r="I126">
            <v>1.8522303370764128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3.1453399639404815</v>
          </cell>
          <cell r="E127">
            <v>3.5038012463698496</v>
          </cell>
          <cell r="F127">
            <v>1.8633910303678909</v>
          </cell>
          <cell r="G127">
            <v>2.4073951699893472</v>
          </cell>
          <cell r="H127">
            <v>2.1982808601097523</v>
          </cell>
          <cell r="I127">
            <v>1.8522303370764128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3.1771110746873572</v>
          </cell>
          <cell r="E128">
            <v>3.5391931781513595</v>
          </cell>
          <cell r="F128">
            <v>2.0881722021592397</v>
          </cell>
          <cell r="G128">
            <v>2.691649730147784</v>
          </cell>
          <cell r="H128">
            <v>2.4651216628984689</v>
          </cell>
          <cell r="I128">
            <v>2.0671753608827617</v>
          </cell>
          <cell r="J128"/>
          <cell r="K128"/>
        </row>
        <row r="129">
          <cell r="A129" t="str">
            <v>RHES-SHLTHDH</v>
          </cell>
          <cell r="B129" t="str">
            <v>VAR_ncap</v>
          </cell>
          <cell r="C129" t="str">
            <v>-</v>
          </cell>
          <cell r="D129"/>
          <cell r="E129">
            <v>4.3094728006477699E-2</v>
          </cell>
          <cell r="F129">
            <v>3.2292424649881898E-2</v>
          </cell>
          <cell r="G129">
            <v>5.0114987936217999E-2</v>
          </cell>
          <cell r="H129">
            <v>4.06126561231012E-2</v>
          </cell>
          <cell r="I129">
            <v>6.1855026447223099E-2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0.30865502876206058</v>
          </cell>
          <cell r="F130">
            <v>0.16818723485287163</v>
          </cell>
          <cell r="G130">
            <v>0.19454478704098105</v>
          </cell>
          <cell r="H130">
            <v>0.18908574728087196</v>
          </cell>
          <cell r="I130">
            <v>0.20484586541003802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1.3447769778106976E-2</v>
          </cell>
          <cell r="E131">
            <v>0.97660706028247468</v>
          </cell>
          <cell r="F131">
            <v>0.61561730857444474</v>
          </cell>
          <cell r="G131">
            <v>0.97648137402116064</v>
          </cell>
          <cell r="H131">
            <v>2.7612237966428288</v>
          </cell>
          <cell r="I131">
            <v>4.8426820698630317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1.3447769778106976E-2</v>
          </cell>
          <cell r="E132">
            <v>0.97660706028247468</v>
          </cell>
          <cell r="F132">
            <v>0.61561730857444474</v>
          </cell>
          <cell r="G132">
            <v>0.97648137402116064</v>
          </cell>
          <cell r="H132">
            <v>2.7612237966428288</v>
          </cell>
          <cell r="I132">
            <v>4.8426820698630317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3.4481388712689201E-2</v>
          </cell>
          <cell r="E133">
            <v>3.44813439133239E-2</v>
          </cell>
          <cell r="F133">
            <v>9.50482234962278E-8</v>
          </cell>
          <cell r="G133">
            <v>2.53859085765459E-7</v>
          </cell>
          <cell r="H133">
            <v>0.126031588633435</v>
          </cell>
          <cell r="I133">
            <v>0.17870580495803601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3.4481388712689201E-2</v>
          </cell>
          <cell r="E134">
            <v>6.8962720367666874E-2</v>
          </cell>
          <cell r="F134">
            <v>6.8962477154885848E-2</v>
          </cell>
          <cell r="G134">
            <v>6.8962956445451598E-2</v>
          </cell>
          <cell r="H134">
            <v>0.1949953218976542</v>
          </cell>
          <cell r="I134">
            <v>0.34196483832630964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57.225550656286366</v>
          </cell>
          <cell r="E135">
            <v>55.077190901316598</v>
          </cell>
          <cell r="F135">
            <v>57.19031280330757</v>
          </cell>
          <cell r="G135">
            <v>63.049657818576712</v>
          </cell>
          <cell r="H135">
            <v>68.297286623380032</v>
          </cell>
          <cell r="I135">
            <v>69.495177488392841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12.875984908817934</v>
          </cell>
          <cell r="E136">
            <v>14.716478908629508</v>
          </cell>
          <cell r="F136">
            <v>14.701040941881374</v>
          </cell>
          <cell r="G136">
            <v>14.870959805927841</v>
          </cell>
          <cell r="H136">
            <v>17.154281706251943</v>
          </cell>
          <cell r="I136">
            <v>17.600185694237855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16.627979941200543</v>
          </cell>
          <cell r="E137">
            <v>12.671308322982622</v>
          </cell>
          <cell r="F137">
            <v>13.446062236781586</v>
          </cell>
          <cell r="G137">
            <v>17.017931726661406</v>
          </cell>
          <cell r="H137">
            <v>16.590068612725148</v>
          </cell>
          <cell r="I137">
            <v>15.663455484221895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11.755527351290834</v>
          </cell>
          <cell r="E138">
            <v>14.694326011473104</v>
          </cell>
          <cell r="F138">
            <v>15.219678096325216</v>
          </cell>
          <cell r="G138">
            <v>16.655499111435585</v>
          </cell>
          <cell r="H138">
            <v>18.61680527186714</v>
          </cell>
          <cell r="I138">
            <v>19.264075773411559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15.966077160194347</v>
          </cell>
          <cell r="E139">
            <v>12.995090617438379</v>
          </cell>
          <cell r="F139">
            <v>13.82353152831937</v>
          </cell>
          <cell r="G139">
            <v>14.505267174551852</v>
          </cell>
          <cell r="H139">
            <v>15.936131032535787</v>
          </cell>
          <cell r="I139">
            <v>16.967460536521518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5.55390389201371</v>
          </cell>
          <cell r="E140">
            <v>6.0159379218642766</v>
          </cell>
          <cell r="F140">
            <v>5.6545902971142619</v>
          </cell>
          <cell r="G140">
            <v>6.8875760159332504</v>
          </cell>
          <cell r="H140">
            <v>6.7414435002419273</v>
          </cell>
          <cell r="I140">
            <v>5.7519491176481576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5.55390389201371</v>
          </cell>
          <cell r="E141">
            <v>6.0159379218642766</v>
          </cell>
          <cell r="F141">
            <v>5.6545902971142619</v>
          </cell>
          <cell r="G141">
            <v>6.8875760159332504</v>
          </cell>
          <cell r="H141">
            <v>6.7414435002419273</v>
          </cell>
          <cell r="I141">
            <v>5.7519491176481576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5.6100039313269772</v>
          </cell>
          <cell r="E142">
            <v>6.0767049715800754</v>
          </cell>
          <cell r="F142">
            <v>6.8674032595687251</v>
          </cell>
          <cell r="G142">
            <v>8.3290056176157812</v>
          </cell>
          <cell r="H142">
            <v>8.1522905379863602</v>
          </cell>
          <cell r="I142">
            <v>6.9557151024256498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>
            <v>2.5959853220200302E-8</v>
          </cell>
          <cell r="E143">
            <v>4.8661993786494197E-2</v>
          </cell>
          <cell r="F143">
            <v>5.2158722815487203E-2</v>
          </cell>
          <cell r="G143">
            <v>0.24640240212605599</v>
          </cell>
          <cell r="H143">
            <v>0.25054860060595102</v>
          </cell>
          <cell r="I143">
            <v>0.49773096152263602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0.84970027889005828</v>
          </cell>
          <cell r="E144">
            <v>0.84951834766953904</v>
          </cell>
          <cell r="F144">
            <v>0.62192925042429303</v>
          </cell>
          <cell r="G144">
            <v>0.83395692266540711</v>
          </cell>
          <cell r="H144">
            <v>0.849697744418067</v>
          </cell>
          <cell r="I144">
            <v>0.84969093152046005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>
            <v>1.7991008143107409E-5</v>
          </cell>
          <cell r="E145">
            <v>1.7261864256263326E-5</v>
          </cell>
          <cell r="F145">
            <v>3.5706317612884363E-2</v>
          </cell>
          <cell r="G145">
            <v>9.5412829730505924E-2</v>
          </cell>
          <cell r="H145">
            <v>0.36892265963355964</v>
          </cell>
          <cell r="I145">
            <v>0.96521114033228084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>
            <v>1.7039275733124776E-5</v>
          </cell>
          <cell r="E146">
            <v>1.1001505856289559E-5</v>
          </cell>
          <cell r="F146">
            <v>4.611942949691028E-2</v>
          </cell>
          <cell r="G146">
            <v>0.11930690629748533</v>
          </cell>
          <cell r="H146">
            <v>0.43408718115037886</v>
          </cell>
          <cell r="I146">
            <v>1.0725287737795974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2.0555786327647301E-3</v>
          </cell>
          <cell r="E147">
            <v>0.16529850061262799</v>
          </cell>
          <cell r="F147">
            <v>5.3641533411818203E-2</v>
          </cell>
          <cell r="G147">
            <v>1.1761703912726899E-2</v>
          </cell>
          <cell r="H147">
            <v>0.139841347188292</v>
          </cell>
          <cell r="I147">
            <v>0.103369421464196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2.0555786327647301E-3</v>
          </cell>
          <cell r="E148">
            <v>0.16735134135286886</v>
          </cell>
          <cell r="F148">
            <v>0.22099136876575326</v>
          </cell>
          <cell r="G148">
            <v>0.2327512981675002</v>
          </cell>
          <cell r="H148">
            <v>0.24031973977479706</v>
          </cell>
          <cell r="I148">
            <v>0.23993896906812451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0.49176088399735302</v>
          </cell>
          <cell r="E149">
            <v>1.6441355717086799</v>
          </cell>
          <cell r="F149">
            <v>3.5032728598735816</v>
          </cell>
          <cell r="G149">
            <v>7.4041938607262381</v>
          </cell>
          <cell r="H149">
            <v>11.062447764724498</v>
          </cell>
          <cell r="I149">
            <v>12.075371048268076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2.3478628017746139</v>
          </cell>
          <cell r="E150">
            <v>1.6503208422836304</v>
          </cell>
          <cell r="F150">
            <v>3.3291187283861792</v>
          </cell>
          <cell r="G150">
            <v>10.498152978862086</v>
          </cell>
          <cell r="H150">
            <v>8.7128896151923616</v>
          </cell>
          <cell r="I150">
            <v>9.7689056612342622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3.294455214415414</v>
          </cell>
          <cell r="F151">
            <v>6.8323881202784733</v>
          </cell>
          <cell r="G151">
            <v>17.902342735883629</v>
          </cell>
          <cell r="H151">
            <v>19.775331397756425</v>
          </cell>
          <cell r="I151">
            <v>21.844271382989032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689.197859826632</v>
          </cell>
          <cell r="E152">
            <v>648.10760250032502</v>
          </cell>
          <cell r="F152">
            <v>595.66321077916996</v>
          </cell>
          <cell r="G152">
            <v>519.70966941093002</v>
          </cell>
          <cell r="H152">
            <v>216.57187518380101</v>
          </cell>
          <cell r="I152">
            <v>1.3843464515861999E-4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9.1952164501967886</v>
          </cell>
          <cell r="E153">
            <v>8.6469938973805149</v>
          </cell>
          <cell r="F153">
            <v>7.947569608682703</v>
          </cell>
          <cell r="G153">
            <v>6.9341957739535962</v>
          </cell>
          <cell r="H153">
            <v>3.1176785131137836</v>
          </cell>
          <cell r="I153">
            <v>0.22820647807538408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9.351395655720923</v>
          </cell>
          <cell r="E154">
            <v>8.7938616350112007</v>
          </cell>
          <cell r="F154">
            <v>8.0822688029738181</v>
          </cell>
          <cell r="G154">
            <v>7.0516915795241628</v>
          </cell>
          <cell r="H154">
            <v>2.9385600431994696</v>
          </cell>
          <cell r="I154">
            <v>1.8783533942824976E-6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2.889393819341482E-4</v>
          </cell>
          <cell r="G155">
            <v>2.8973140430075801E-4</v>
          </cell>
          <cell r="H155">
            <v>0.2321115990585417</v>
          </cell>
          <cell r="I155">
            <v>0.2321105972173069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7.9291457411909926E-3</v>
          </cell>
          <cell r="G156">
            <v>5.2624093049342222E-2</v>
          </cell>
          <cell r="H156">
            <v>8.0297752829516112E-3</v>
          </cell>
          <cell r="I156">
            <v>6.5732525771706376E-3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7.9402025045035469E-3</v>
          </cell>
          <cell r="G157">
            <v>5.2636573325616609E-2</v>
          </cell>
          <cell r="H157">
            <v>8.0335407588797009E-3</v>
          </cell>
          <cell r="I157">
            <v>6.5821415009185572E-3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2.1735835946760799E-5</v>
          </cell>
          <cell r="E158">
            <v>4.9018929106526401E-6</v>
          </cell>
          <cell r="F158">
            <v>3.2304645671290003E-2</v>
          </cell>
          <cell r="G158">
            <v>3.3199382095851403E-2</v>
          </cell>
          <cell r="H158">
            <v>5.10428500217135E-2</v>
          </cell>
          <cell r="I158">
            <v>2.6448218612927302E-2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2.1735835946760799E-5</v>
          </cell>
          <cell r="E159">
            <v>2.6060231229609859E-7</v>
          </cell>
          <cell r="F159">
            <v>3.2301227547765224E-2</v>
          </cell>
          <cell r="G159">
            <v>6.548898052350563E-2</v>
          </cell>
          <cell r="H159">
            <v>9.3065725848800268E-2</v>
          </cell>
          <cell r="I159">
            <v>6.923401277216297E-2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1.3852521395445476E-2</v>
          </cell>
          <cell r="E160">
            <v>1.0738700648657817</v>
          </cell>
          <cell r="F160">
            <v>0.67408525228979765</v>
          </cell>
          <cell r="G160">
            <v>1.0737476030285096</v>
          </cell>
          <cell r="H160">
            <v>1.0736783186803869</v>
          </cell>
          <cell r="I160">
            <v>1.8663106498107094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1.3852521395445476E-2</v>
          </cell>
          <cell r="E161">
            <v>1.0738700648657817</v>
          </cell>
          <cell r="F161">
            <v>0.67408525228979765</v>
          </cell>
          <cell r="G161">
            <v>1.0737476030285096</v>
          </cell>
          <cell r="H161">
            <v>1.0736783186803869</v>
          </cell>
          <cell r="I161">
            <v>1.8663106498107094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3.7915226338029101E-2</v>
          </cell>
          <cell r="E162">
            <v>3.7915491685036898E-2</v>
          </cell>
          <cell r="F162">
            <v>5.0420203330985198E-8</v>
          </cell>
          <cell r="G162">
            <v>8.9809293271472403E-8</v>
          </cell>
          <cell r="H162">
            <v>2.4705198859178602E-7</v>
          </cell>
          <cell r="I162">
            <v>9.0858107992024498E-2</v>
          </cell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3.7915226338029101E-2</v>
          </cell>
          <cell r="E163">
            <v>7.5830706038549425E-2</v>
          </cell>
          <cell r="F163">
            <v>7.5830423218771995E-2</v>
          </cell>
          <cell r="G163">
            <v>7.5830738241278534E-2</v>
          </cell>
          <cell r="H163">
            <v>7.5830973208763419E-2</v>
          </cell>
          <cell r="I163">
            <v>0.13179218838264667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1.8522803324602924E-3</v>
          </cell>
          <cell r="G164">
            <v>2.0466487594135207E-3</v>
          </cell>
          <cell r="H164">
            <v>3.4586915464733313E-3</v>
          </cell>
          <cell r="I164">
            <v>3.4348305668944505E-3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1.8522803324602924E-3</v>
          </cell>
          <cell r="G165">
            <v>2.0466487594135207E-3</v>
          </cell>
          <cell r="H165">
            <v>3.4586915464733313E-3</v>
          </cell>
          <cell r="I165">
            <v>3.4348305668944505E-3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>
            <v>4.6640949344604E-8</v>
          </cell>
          <cell r="F166">
            <v>1.49785701211531E-4</v>
          </cell>
          <cell r="G166">
            <v>1.22712326153534E-5</v>
          </cell>
          <cell r="H166">
            <v>1.08562654636409E-4</v>
          </cell>
          <cell r="I166">
            <v>5.3255492105332697E-8</v>
          </cell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>
            <v>4.6640949344604E-8</v>
          </cell>
          <cell r="F167">
            <v>1.4980235381855186E-4</v>
          </cell>
          <cell r="G167">
            <v>1.6206466332309823E-4</v>
          </cell>
          <cell r="H167">
            <v>2.7135213505546392E-4</v>
          </cell>
          <cell r="I167">
            <v>2.7150775483553798E-4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8.3257558587087541E-3</v>
          </cell>
          <cell r="E168">
            <v>0.63247777316463216</v>
          </cell>
          <cell r="F168">
            <v>0.40518165807281675</v>
          </cell>
          <cell r="G168">
            <v>0.63235876612508346</v>
          </cell>
          <cell r="H168">
            <v>0.63229105384594331</v>
          </cell>
          <cell r="I168">
            <v>0.36275735557900168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8.3257558587087541E-3</v>
          </cell>
          <cell r="E169">
            <v>0.63247777316463216</v>
          </cell>
          <cell r="F169">
            <v>0.40518165807281675</v>
          </cell>
          <cell r="G169">
            <v>0.63235876612508346</v>
          </cell>
          <cell r="H169">
            <v>0.63229105384594331</v>
          </cell>
          <cell r="I169">
            <v>0.36275735557900168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2.6197052427347199E-3</v>
          </cell>
          <cell r="E170">
            <v>4.2042681348625703E-2</v>
          </cell>
          <cell r="F170">
            <v>4.74450487425784E-8</v>
          </cell>
          <cell r="G170">
            <v>8.1365139348864405E-8</v>
          </cell>
          <cell r="H170">
            <v>2.7508519994847802E-7</v>
          </cell>
          <cell r="I170">
            <v>1.5723749552956701E-6</v>
          </cell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2.6197052427347199E-3</v>
          </cell>
          <cell r="E171">
            <v>4.4662374757608307E-2</v>
          </cell>
          <cell r="F171">
            <v>4.4662096541830169E-2</v>
          </cell>
          <cell r="G171">
            <v>4.4662398127396696E-2</v>
          </cell>
          <cell r="H171">
            <v>4.4662645928455411E-2</v>
          </cell>
          <cell r="I171">
            <v>2.5620694263343981E-2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28.619771827059978</v>
          </cell>
          <cell r="E172">
            <v>25.424276508471177</v>
          </cell>
          <cell r="F172">
            <v>24.011506342351097</v>
          </cell>
          <cell r="G172">
            <v>9.1937489437587736</v>
          </cell>
          <cell r="H172">
            <v>3.0707415750541474</v>
          </cell>
          <cell r="I172">
            <v>8.0934543785109636E-4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2005.15335613722</v>
          </cell>
          <cell r="E173">
            <v>1779.7133395267099</v>
          </cell>
          <cell r="F173">
            <v>1678.6166248961699</v>
          </cell>
          <cell r="G173">
            <v>641.32402890132198</v>
          </cell>
          <cell r="H173">
            <v>213.274942118925</v>
          </cell>
          <cell r="I173">
            <v>5.5969361611019799E-2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35.552364470518079</v>
          </cell>
          <cell r="E174">
            <v>31.555201055438154</v>
          </cell>
          <cell r="F174">
            <v>29.762706115180322</v>
          </cell>
          <cell r="G174">
            <v>11.370993420236211</v>
          </cell>
          <cell r="H174">
            <v>3.7814706049454792</v>
          </cell>
          <cell r="I174">
            <v>9.9236456757127419E-4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5.5596059715554198E-5</v>
          </cell>
          <cell r="F175">
            <v>3.8065964270111203E-5</v>
          </cell>
          <cell r="G175">
            <v>3.0650154203957898E-5</v>
          </cell>
          <cell r="H175">
            <v>6.5490204605042407E-5</v>
          </cell>
          <cell r="I175">
            <v>2.2273891663100999E-5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1.5565857861712147</v>
          </cell>
          <cell r="F176">
            <v>1.5565570785746556</v>
          </cell>
          <cell r="G176">
            <v>0.78502908692919449</v>
          </cell>
          <cell r="H176">
            <v>0.2099323944632884</v>
          </cell>
          <cell r="I176">
            <v>7.9096723341900987E-5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2.1539737462216262E-2</v>
          </cell>
          <cell r="F177">
            <v>7.8766477895961286E-5</v>
          </cell>
          <cell r="G177">
            <v>2.5237405103099907E-4</v>
          </cell>
          <cell r="H177">
            <v>3.908966970878743E-4</v>
          </cell>
          <cell r="I177">
            <v>6.9863566383063236E-4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2.1539737462216262E-2</v>
          </cell>
          <cell r="F178">
            <v>7.8766477895961286E-5</v>
          </cell>
          <cell r="G178">
            <v>2.5237405103099907E-4</v>
          </cell>
          <cell r="H178">
            <v>3.908966970878743E-4</v>
          </cell>
          <cell r="I178">
            <v>6.9863566383063236E-4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3.20034279287096E-3</v>
          </cell>
          <cell r="F179">
            <v>1.59005658465042E-6</v>
          </cell>
          <cell r="G179">
            <v>2.99830898165997E-6</v>
          </cell>
          <cell r="H179">
            <v>4.6484046207549099E-4</v>
          </cell>
          <cell r="I179">
            <v>2.0307257624003401E-4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3.20034279287096E-3</v>
          </cell>
          <cell r="F180">
            <v>3.196911803649605E-3</v>
          </cell>
          <cell r="G180">
            <v>3.1993757737177708E-3</v>
          </cell>
          <cell r="H180">
            <v>4.7788399415997122E-4</v>
          </cell>
          <cell r="I180">
            <v>5.4414020697754505E-4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1.4011293769848814</v>
          </cell>
          <cell r="E181">
            <v>1.6077985653571294</v>
          </cell>
          <cell r="F181">
            <v>0.16101683531598335</v>
          </cell>
          <cell r="G181">
            <v>0.13917207524454994</v>
          </cell>
          <cell r="H181">
            <v>8.1291875723826471E-2</v>
          </cell>
          <cell r="I181">
            <v>2.9761162202554911E-2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1.4011293769848814</v>
          </cell>
          <cell r="E182">
            <v>1.6077985653571294</v>
          </cell>
          <cell r="F182">
            <v>0.16101683531598335</v>
          </cell>
          <cell r="G182">
            <v>0.13917207524454994</v>
          </cell>
          <cell r="H182">
            <v>8.1291875723826471E-2</v>
          </cell>
          <cell r="I182">
            <v>2.9761162202554911E-2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1.5568104188720919</v>
          </cell>
          <cell r="E183">
            <v>1.7864428503968117</v>
          </cell>
          <cell r="F183">
            <v>0.22266826060975362</v>
          </cell>
          <cell r="G183">
            <v>0.19245940251738061</v>
          </cell>
          <cell r="H183">
            <v>0.11241756511737787</v>
          </cell>
          <cell r="I183">
            <v>3.9984006377926054E-2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1.51566743275154E-4</v>
          </cell>
          <cell r="E184">
            <v>1.4568676631498899E-2</v>
          </cell>
          <cell r="F184">
            <v>1.5150637899504499E-7</v>
          </cell>
          <cell r="G184">
            <v>3.3379446033310302E-7</v>
          </cell>
          <cell r="H184">
            <v>5.2593920587556296E-3</v>
          </cell>
          <cell r="I184">
            <v>1.1782742793231099E-7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9.9850622863555755E-2</v>
          </cell>
          <cell r="E185">
            <v>0.11441922705355381</v>
          </cell>
          <cell r="F185">
            <v>1.4781228414156397E-2</v>
          </cell>
          <cell r="G185">
            <v>1.4705134386008595E-2</v>
          </cell>
          <cell r="H185">
            <v>5.7581531649118093E-3</v>
          </cell>
          <cell r="I185">
            <v>3.2370821835113108E-3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1.0766976259749146E-3</v>
          </cell>
          <cell r="F186">
            <v>5.5061309145616592E-4</v>
          </cell>
          <cell r="G186">
            <v>9.8561341866678243E-4</v>
          </cell>
          <cell r="H186">
            <v>9.4865344410353014E-4</v>
          </cell>
          <cell r="I186">
            <v>5.9037409108953778E-4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1.0766976259749146E-3</v>
          </cell>
          <cell r="F187">
            <v>5.5061309145616592E-4</v>
          </cell>
          <cell r="G187">
            <v>9.8561341866678243E-4</v>
          </cell>
          <cell r="H187">
            <v>9.4865344410353014E-4</v>
          </cell>
          <cell r="I187">
            <v>5.9037409108953778E-4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7.6559626870067597E-5</v>
          </cell>
          <cell r="F188">
            <v>4.7580324910999298E-8</v>
          </cell>
          <cell r="G188">
            <v>7.0293852022742504E-8</v>
          </cell>
          <cell r="H188">
            <v>1.5605705280355701E-7</v>
          </cell>
          <cell r="I188">
            <v>9.3038057194741297E-7</v>
          </cell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7.6559626870067597E-5</v>
          </cell>
          <cell r="F189">
            <v>7.6515464642535447E-5</v>
          </cell>
          <cell r="G189">
            <v>7.6611791582633401E-5</v>
          </cell>
          <cell r="H189">
            <v>7.6800877668142383E-5</v>
          </cell>
          <cell r="I189">
            <v>4.5511657679304034E-5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4.0372656269516344E-4</v>
          </cell>
          <cell r="F190">
            <v>2.1176929224733213E-4</v>
          </cell>
          <cell r="G190">
            <v>3.3871965796295817E-4</v>
          </cell>
          <cell r="H190">
            <v>3.1907497769279345E-4</v>
          </cell>
          <cell r="I190">
            <v>2.0896819692624468E-4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4.0372656269516344E-4</v>
          </cell>
          <cell r="F191">
            <v>2.1176929224733213E-4</v>
          </cell>
          <cell r="G191">
            <v>3.3871965796295817E-4</v>
          </cell>
          <cell r="H191">
            <v>3.1907497769279345E-4</v>
          </cell>
          <cell r="I191">
            <v>2.0896819692624468E-4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2.8745162103402099E-5</v>
          </cell>
          <cell r="F192">
            <v>4.7414702601608402E-8</v>
          </cell>
          <cell r="G192">
            <v>6.1459559510387098E-8</v>
          </cell>
          <cell r="H192">
            <v>1.14993457426679E-7</v>
          </cell>
          <cell r="I192">
            <v>5.5779030857029699E-7</v>
          </cell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2.8745162103402099E-5</v>
          </cell>
          <cell r="F193">
            <v>2.8742415284961886E-5</v>
          </cell>
          <cell r="G193">
            <v>2.8801234281653096E-5</v>
          </cell>
          <cell r="H193">
            <v>2.8998391158831653E-5</v>
          </cell>
          <cell r="I193">
            <v>1.7478369948727208E-5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1.12765575095651E-4</v>
          </cell>
          <cell r="F194">
            <v>6.4590471888572302E-5</v>
          </cell>
          <cell r="G194">
            <v>8.0967165756534474E-5</v>
          </cell>
          <cell r="H194">
            <v>7.8256024429174657E-5</v>
          </cell>
          <cell r="I194">
            <v>5.3212683426019422E-5</v>
          </cell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1.12765575095651E-4</v>
          </cell>
          <cell r="F195">
            <v>6.4590471888572302E-5</v>
          </cell>
          <cell r="G195">
            <v>8.0967165756534474E-5</v>
          </cell>
          <cell r="H195">
            <v>7.8256024429174657E-5</v>
          </cell>
          <cell r="I195">
            <v>5.3212683426019422E-5</v>
          </cell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7.5480717527087902E-6</v>
          </cell>
          <cell r="F196">
            <v>4.9169466803123598E-8</v>
          </cell>
          <cell r="G196">
            <v>3.0468484957918302E-8</v>
          </cell>
          <cell r="H196">
            <v>6.6956927312322404E-8</v>
          </cell>
          <cell r="I196">
            <v>1.12061236868052E-7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7.5480717527087902E-6</v>
          </cell>
          <cell r="F197">
            <v>7.5775465957929851E-6</v>
          </cell>
          <cell r="G197">
            <v>7.598176245870553E-6</v>
          </cell>
          <cell r="H197">
            <v>7.8354024928558731E-6</v>
          </cell>
          <cell r="I197">
            <v>4.7905907201052757E-6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9.1578152010313651</v>
          </cell>
          <cell r="E198">
            <v>10.275911429631918</v>
          </cell>
          <cell r="F198">
            <v>20.202730770525427</v>
          </cell>
          <cell r="G198">
            <v>28.10776308504294</v>
          </cell>
          <cell r="H198">
            <v>33.198364280776019</v>
          </cell>
          <cell r="I198">
            <v>30.062523196051625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2.8618172053667714</v>
          </cell>
          <cell r="E199">
            <v>3.1585793015702377</v>
          </cell>
          <cell r="F199">
            <v>6.9398170940057868</v>
          </cell>
          <cell r="G199">
            <v>8.6457582886683326</v>
          </cell>
          <cell r="H199">
            <v>9.097837077351663</v>
          </cell>
          <cell r="I199">
            <v>7.3747304803555025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9.1578152010313651</v>
          </cell>
          <cell r="E200">
            <v>10.275911429631918</v>
          </cell>
          <cell r="F200">
            <v>20.202730770525427</v>
          </cell>
          <cell r="G200">
            <v>28.10776308504294</v>
          </cell>
          <cell r="H200">
            <v>33.198364280776019</v>
          </cell>
          <cell r="I200">
            <v>30.062523196051625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1.37488352485502E-7</v>
          </cell>
          <cell r="E201">
            <v>9.0329112159326E-2</v>
          </cell>
          <cell r="F201">
            <v>0.801984441077219</v>
          </cell>
          <cell r="G201">
            <v>0.63861325194819996</v>
          </cell>
          <cell r="H201">
            <v>1.3078629944003199</v>
          </cell>
          <cell r="I201">
            <v>1.1428420102899299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0.73983806541371744</v>
          </cell>
          <cell r="E202">
            <v>0.8301670833785626</v>
          </cell>
          <cell r="F202">
            <v>1.6321510783823017</v>
          </cell>
          <cell r="G202">
            <v>2.2707643348077093</v>
          </cell>
          <cell r="H202">
            <v>2.6820253813986348</v>
          </cell>
          <cell r="I202">
            <v>2.4286843126899273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3.2399006277274442</v>
          </cell>
          <cell r="E203">
            <v>3.6354615074685133</v>
          </cell>
          <cell r="F203">
            <v>5.0768975241590661</v>
          </cell>
          <cell r="G203">
            <v>9.3542948897004283</v>
          </cell>
          <cell r="H203">
            <v>15.440709311405687</v>
          </cell>
          <cell r="I203">
            <v>17.517579070721428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1.1489009318182426</v>
          </cell>
          <cell r="E204">
            <v>1.2864336544474571</v>
          </cell>
          <cell r="F204">
            <v>2.6404330925564561</v>
          </cell>
          <cell r="G204">
            <v>4.2757988549356734</v>
          </cell>
          <cell r="H204">
            <v>6.1936346830311821</v>
          </cell>
          <cell r="I204">
            <v>6.2593053475218241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5.2829447578311302E-6</v>
          </cell>
          <cell r="E205">
            <v>3.3771724618729702E-2</v>
          </cell>
          <cell r="F205">
            <v>8.9044783932872407E-2</v>
          </cell>
          <cell r="G205">
            <v>0.30320203714677002</v>
          </cell>
          <cell r="H205">
            <v>0.461381287926657</v>
          </cell>
          <cell r="I205">
            <v>0.708479079690985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0.21335794536399882</v>
          </cell>
          <cell r="E206">
            <v>0.24712930150405599</v>
          </cell>
          <cell r="F206">
            <v>0.33617382919924399</v>
          </cell>
          <cell r="G206">
            <v>0.63937577067882345</v>
          </cell>
          <cell r="H206">
            <v>1.0555844942965007</v>
          </cell>
          <cell r="I206">
            <v>1.200397457615942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5.608650233099417</v>
          </cell>
          <cell r="E207">
            <v>6.0095248170332436</v>
          </cell>
          <cell r="F207">
            <v>6.0776026236545908</v>
          </cell>
          <cell r="G207">
            <v>8.2755137494454356</v>
          </cell>
          <cell r="H207">
            <v>7.0669782824574101</v>
          </cell>
          <cell r="I207">
            <v>13.188234680067744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>
            <v>2.1079208526171203E-4</v>
          </cell>
          <cell r="F208">
            <v>2.1787290495168697E-3</v>
          </cell>
          <cell r="G208">
            <v>1.0166004153402379E-2</v>
          </cell>
          <cell r="H208">
            <v>2.0361571816598762E-3</v>
          </cell>
          <cell r="I208">
            <v>3.4176969560821946E-2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5.608650233099417</v>
          </cell>
          <cell r="E209">
            <v>6.0097356091184944</v>
          </cell>
          <cell r="F209">
            <v>6.079781352704102</v>
          </cell>
          <cell r="G209">
            <v>8.285679753598826</v>
          </cell>
          <cell r="H209">
            <v>7.0690144396390702</v>
          </cell>
          <cell r="I209">
            <v>13.222411649628564</v>
          </cell>
          <cell r="J209"/>
        </row>
        <row r="210">
          <cell r="A210" t="str">
            <v>RHEM-SHCONBR9</v>
          </cell>
          <cell r="B210" t="str">
            <v>VAR_fout</v>
          </cell>
          <cell r="C210" t="str">
            <v>RHEM-SHCON</v>
          </cell>
          <cell r="D210"/>
          <cell r="E210">
            <v>3.6673500191397984E-5</v>
          </cell>
          <cell r="F210">
            <v>2.4738887113841041E-5</v>
          </cell>
          <cell r="G210">
            <v>2.3143482617134142E-5</v>
          </cell>
          <cell r="H210">
            <v>2.5242040332064538E-5</v>
          </cell>
          <cell r="I210">
            <v>1.7318537931500707E-5</v>
          </cell>
          <cell r="J210"/>
          <cell r="K210"/>
        </row>
        <row r="211">
          <cell r="A211" t="str">
            <v>RHEM-SHCONBR9</v>
          </cell>
          <cell r="B211" t="str">
            <v>VAR_fin</v>
          </cell>
          <cell r="C211" t="str">
            <v>CON</v>
          </cell>
          <cell r="D211"/>
          <cell r="E211">
            <v>3.6673500191397984E-5</v>
          </cell>
          <cell r="F211">
            <v>2.4738887113841041E-5</v>
          </cell>
          <cell r="G211">
            <v>2.3143482617134142E-5</v>
          </cell>
          <cell r="H211">
            <v>2.5242040332064538E-5</v>
          </cell>
          <cell r="I211">
            <v>1.7318537931500707E-5</v>
          </cell>
          <cell r="J211"/>
          <cell r="K211"/>
        </row>
        <row r="212">
          <cell r="A212" t="str">
            <v>RHEM-SHCONBR9</v>
          </cell>
          <cell r="B212" t="str">
            <v>VAR_ncap</v>
          </cell>
          <cell r="C212" t="str">
            <v>-</v>
          </cell>
          <cell r="D212"/>
          <cell r="E212">
            <v>1.53647673627834E-6</v>
          </cell>
          <cell r="F212">
            <v>5.2007942802708699E-8</v>
          </cell>
          <cell r="G212">
            <v>1.7994617616535999E-8</v>
          </cell>
          <cell r="H212">
            <v>4.2461113177363099E-8</v>
          </cell>
          <cell r="I212">
            <v>4.4214624304959299E-8</v>
          </cell>
          <cell r="J212"/>
          <cell r="K212"/>
        </row>
        <row r="213">
          <cell r="A213" t="str">
            <v>RHEM-SHCONBR9</v>
          </cell>
          <cell r="B213" t="str">
            <v>VAR_cap</v>
          </cell>
          <cell r="C213" t="str">
            <v>-</v>
          </cell>
          <cell r="D213"/>
          <cell r="E213">
            <v>1.53647673627834E-6</v>
          </cell>
          <cell r="F213">
            <v>1.58848467908105E-6</v>
          </cell>
          <cell r="G213">
            <v>1.6064792966975899E-6</v>
          </cell>
          <cell r="H213">
            <v>1.8079276874300499E-6</v>
          </cell>
          <cell r="I213">
            <v>1.1933394883839001E-6</v>
          </cell>
          <cell r="J213"/>
        </row>
        <row r="214">
          <cell r="A214" t="str">
            <v>SCOM-SHELCHP</v>
          </cell>
          <cell r="B214" t="str">
            <v>VAR_fout</v>
          </cell>
          <cell r="C214" t="str">
            <v>SCOM-SHAELCH</v>
          </cell>
          <cell r="D214">
            <v>4.2612187386837377</v>
          </cell>
          <cell r="E214">
            <v>4.6176534815891861</v>
          </cell>
          <cell r="F214">
            <v>6.1208938377760518</v>
          </cell>
          <cell r="G214">
            <v>15.337583571368025</v>
          </cell>
          <cell r="H214">
            <v>26.672633499045435</v>
          </cell>
          <cell r="I214">
            <v>26.244106879567738</v>
          </cell>
          <cell r="J214"/>
          <cell r="K214"/>
        </row>
        <row r="215">
          <cell r="A215" t="str">
            <v>SCOM-SHELCHP</v>
          </cell>
          <cell r="B215" t="str">
            <v>VAR_fin</v>
          </cell>
          <cell r="C215" t="str">
            <v>SCOMELCHPC</v>
          </cell>
          <cell r="D215">
            <v>4.2612187386837377</v>
          </cell>
          <cell r="E215">
            <v>4.6176534815891861</v>
          </cell>
          <cell r="F215">
            <v>6.1208938377760518</v>
          </cell>
          <cell r="G215">
            <v>15.337583571368025</v>
          </cell>
          <cell r="H215">
            <v>26.672633499045435</v>
          </cell>
          <cell r="I215">
            <v>26.244106879567738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SCOM_ELC</v>
          </cell>
          <cell r="D216">
            <v>1.3316308558386691</v>
          </cell>
          <cell r="E216">
            <v>1.4252016918485158</v>
          </cell>
          <cell r="F216">
            <v>2.0557077617472186</v>
          </cell>
          <cell r="G216">
            <v>4.6021383667020643</v>
          </cell>
          <cell r="H216">
            <v>7.3084691572829765</v>
          </cell>
          <cell r="I216">
            <v>6.7533536825717855</v>
          </cell>
          <cell r="J216"/>
        </row>
        <row r="217">
          <cell r="A217" t="str">
            <v>SCOM-SHELCHP</v>
          </cell>
          <cell r="B217" t="str">
            <v>VAR_ncap</v>
          </cell>
          <cell r="C217" t="str">
            <v>-</v>
          </cell>
          <cell r="D217">
            <v>7.1595992346670901E-7</v>
          </cell>
          <cell r="E217">
            <v>2.0055622641178001E-6</v>
          </cell>
          <cell r="F217">
            <v>4.2589859829170802E-2</v>
          </cell>
          <cell r="G217">
            <v>0.71300745590025305</v>
          </cell>
          <cell r="H217">
            <v>0.85538118071955904</v>
          </cell>
          <cell r="I217">
            <v>1.13465116855278</v>
          </cell>
          <cell r="J217"/>
          <cell r="K217"/>
        </row>
        <row r="218">
          <cell r="A218" t="str">
            <v>SCOM-SHELCHP</v>
          </cell>
          <cell r="B218" t="str">
            <v>VAR_cap</v>
          </cell>
          <cell r="C218" t="str">
            <v>-</v>
          </cell>
          <cell r="D218">
            <v>0.43061802941371147</v>
          </cell>
          <cell r="E218">
            <v>0.43061931091569727</v>
          </cell>
          <cell r="F218">
            <v>0.47320900120950488</v>
          </cell>
          <cell r="G218">
            <v>1.1862164879686077</v>
          </cell>
          <cell r="H218">
            <v>2.0647523465202102</v>
          </cell>
          <cell r="I218">
            <v>2.0578090679988037</v>
          </cell>
          <cell r="J218"/>
        </row>
        <row r="219">
          <cell r="A219" t="str">
            <v>D-ITOT_NKEV_OIL_ELC_CHP</v>
          </cell>
          <cell r="B219" t="str">
            <v>VAR_fout</v>
          </cell>
          <cell r="C219" t="str">
            <v>ITOT_ELC</v>
          </cell>
          <cell r="D219">
            <v>6.7591749036344587E-2</v>
          </cell>
          <cell r="E219">
            <v>0.16893863630446104</v>
          </cell>
          <cell r="F219">
            <v>2.9315753654038982E-3</v>
          </cell>
          <cell r="G219">
            <v>0.16853900443458095</v>
          </cell>
          <cell r="H219">
            <v>1.6787367169224068E-3</v>
          </cell>
          <cell r="I219">
            <v>7.1193711645621176E-3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ELC5</v>
          </cell>
          <cell r="D220">
            <v>2.9110995858693425E-3</v>
          </cell>
          <cell r="E220">
            <v>2.284947932199975E-3</v>
          </cell>
          <cell r="F220">
            <v>5.6592842122857019E-4</v>
          </cell>
          <cell r="G220">
            <v>2.3817876043214651E-3</v>
          </cell>
          <cell r="H220">
            <v>6.6677850341654936E-4</v>
          </cell>
          <cell r="I220">
            <v>1.0045966343011122E-3</v>
          </cell>
          <cell r="J220"/>
        </row>
        <row r="221">
          <cell r="A221" t="str">
            <v>D-ITOT_NKEV_OIL_ELC_CHP</v>
          </cell>
          <cell r="B221" t="str">
            <v>VAR_fin</v>
          </cell>
          <cell r="C221" t="str">
            <v>ITOT_NKEV_OIL_ELC_CHP</v>
          </cell>
          <cell r="D221">
            <v>7.0502848622213926E-2</v>
          </cell>
          <cell r="E221">
            <v>0.17122358423666084</v>
          </cell>
          <cell r="F221">
            <v>3.4892353440908355E-3</v>
          </cell>
          <cell r="G221">
            <v>0.17091371583155654</v>
          </cell>
          <cell r="H221">
            <v>2.3403471796464696E-3</v>
          </cell>
          <cell r="I221">
            <v>8.1213066174298104E-3</v>
          </cell>
          <cell r="J221"/>
        </row>
        <row r="222">
          <cell r="A222" t="str">
            <v>RHSA-WHCONBR1</v>
          </cell>
          <cell r="B222" t="str">
            <v>VAR_ncap</v>
          </cell>
          <cell r="C222" t="str">
            <v>-</v>
          </cell>
          <cell r="D222"/>
          <cell r="E222"/>
          <cell r="F222">
            <v>375</v>
          </cell>
          <cell r="G222">
            <v>5.3546708989194798</v>
          </cell>
          <cell r="H222"/>
          <cell r="I222"/>
          <cell r="J222"/>
          <cell r="K222"/>
        </row>
        <row r="223">
          <cell r="A223" t="str">
            <v>RHSA-WHCONBR1</v>
          </cell>
          <cell r="B223" t="str">
            <v>VAR_cap</v>
          </cell>
          <cell r="C223" t="str">
            <v>-</v>
          </cell>
          <cell r="D223"/>
          <cell r="E223"/>
          <cell r="F223">
            <v>375</v>
          </cell>
          <cell r="G223">
            <v>13.250580098570993</v>
          </cell>
          <cell r="H223">
            <v>7.1399867705630413</v>
          </cell>
          <cell r="I223">
            <v>3.2078828560939883</v>
          </cell>
          <cell r="J223"/>
          <cell r="K223"/>
        </row>
        <row r="224">
          <cell r="A224" t="str">
            <v>RHNS-SHELCBR</v>
          </cell>
          <cell r="B224" t="str">
            <v>VAR_fout</v>
          </cell>
          <cell r="C224" t="str">
            <v>RHNS-SHAELCB</v>
          </cell>
          <cell r="D224"/>
          <cell r="E224">
            <v>6.9062276514982937E-2</v>
          </cell>
          <cell r="F224">
            <v>3.8468629320725389E-3</v>
          </cell>
          <cell r="G224">
            <v>6.6394058840434289E-3</v>
          </cell>
          <cell r="H224">
            <v>6.7740617729151447E-3</v>
          </cell>
          <cell r="I224">
            <v>4.1791434427572516E-3</v>
          </cell>
          <cell r="J224"/>
        </row>
        <row r="225">
          <cell r="A225" t="str">
            <v>RHNS-SHELCBR</v>
          </cell>
          <cell r="B225" t="str">
            <v>VAR_fin</v>
          </cell>
          <cell r="C225" t="str">
            <v>RHNS_ELC</v>
          </cell>
          <cell r="D225"/>
          <cell r="E225">
            <v>7.2697133173666217E-2</v>
          </cell>
          <cell r="F225">
            <v>4.0493294021816204E-3</v>
          </cell>
          <cell r="G225">
            <v>6.9888482989930853E-3</v>
          </cell>
          <cell r="H225">
            <v>7.1305913399106781E-3</v>
          </cell>
          <cell r="I225">
            <v>4.3990983607971133E-3</v>
          </cell>
          <cell r="J225"/>
        </row>
        <row r="226">
          <cell r="A226" t="str">
            <v>RHNS-SHELCBR</v>
          </cell>
          <cell r="B226" t="str">
            <v>VAR_ncap</v>
          </cell>
          <cell r="C226" t="str">
            <v>-</v>
          </cell>
          <cell r="D226"/>
          <cell r="E226">
            <v>5.1660785910938502E-3</v>
          </cell>
          <cell r="F226"/>
          <cell r="G226"/>
          <cell r="H226"/>
          <cell r="I226"/>
          <cell r="J226"/>
        </row>
        <row r="227">
          <cell r="A227" t="str">
            <v>RHNS-SHELCBR</v>
          </cell>
          <cell r="B227" t="str">
            <v>VAR_cap</v>
          </cell>
          <cell r="C227" t="str">
            <v>-</v>
          </cell>
          <cell r="D227"/>
          <cell r="E227">
            <v>5.1660785910938502E-3</v>
          </cell>
          <cell r="F227">
            <v>5.1604100299070099E-3</v>
          </cell>
          <cell r="G227">
            <v>5.1512667541149405E-3</v>
          </cell>
          <cell r="H227">
            <v>9.7180780271996395E-4</v>
          </cell>
          <cell r="I227">
            <v>4.1077482540147154E-4</v>
          </cell>
          <cell r="J227"/>
          <cell r="K227"/>
        </row>
        <row r="228">
          <cell r="A228" t="str">
            <v>RHSA-WHCONBR2</v>
          </cell>
          <cell r="B228" t="str">
            <v>VAR_ncap</v>
          </cell>
          <cell r="C228" t="str">
            <v>-</v>
          </cell>
          <cell r="D228"/>
          <cell r="E228"/>
          <cell r="F228">
            <v>375</v>
          </cell>
          <cell r="G228">
            <v>5.3546708989193998</v>
          </cell>
          <cell r="H228"/>
          <cell r="I228"/>
          <cell r="J228"/>
          <cell r="K228"/>
        </row>
        <row r="229">
          <cell r="A229" t="str">
            <v>RHSA-WHCONBR2</v>
          </cell>
          <cell r="B229" t="str">
            <v>VAR_cap</v>
          </cell>
          <cell r="C229" t="str">
            <v>-</v>
          </cell>
          <cell r="D229"/>
          <cell r="E229"/>
          <cell r="F229">
            <v>375</v>
          </cell>
          <cell r="G229">
            <v>13.250580098571959</v>
          </cell>
          <cell r="H229">
            <v>7.1399867705630413</v>
          </cell>
          <cell r="I229">
            <v>3.2078828560950114</v>
          </cell>
          <cell r="J229"/>
          <cell r="K229"/>
        </row>
        <row r="230">
          <cell r="A230" t="str">
            <v>ITOT-SWHSTG-SOL</v>
          </cell>
          <cell r="B230" t="str">
            <v>VAR_fout</v>
          </cell>
          <cell r="C230" t="str">
            <v>ITOT-SWHASOL</v>
          </cell>
          <cell r="D230">
            <v>5.423273658566077E-5</v>
          </cell>
          <cell r="E230">
            <v>6.1009651979496804E-5</v>
          </cell>
          <cell r="F230">
            <v>1.5087401516704238E-3</v>
          </cell>
          <cell r="G230">
            <v>3.8449812035740074E-3</v>
          </cell>
          <cell r="H230">
            <v>2.4595547496685148E-3</v>
          </cell>
          <cell r="I230">
            <v>2.1998215990840435E-3</v>
          </cell>
          <cell r="J230"/>
        </row>
        <row r="231">
          <cell r="A231" t="str">
            <v>ITOT-SWHSTG-SOL</v>
          </cell>
          <cell r="B231" t="str">
            <v>VAR_fin</v>
          </cell>
          <cell r="C231" t="str">
            <v>ITOT-SWHASOL</v>
          </cell>
          <cell r="D231">
            <v>5.5025842940472342E-5</v>
          </cell>
          <cell r="E231">
            <v>5.0822994027362703E-5</v>
          </cell>
          <cell r="F231">
            <v>1.9217395860380603E-3</v>
          </cell>
          <cell r="G231">
            <v>4.7828189260622593E-3</v>
          </cell>
          <cell r="H231">
            <v>2.870107168230618E-3</v>
          </cell>
          <cell r="I231">
            <v>2.4290633280254813E-3</v>
          </cell>
          <cell r="J231"/>
        </row>
        <row r="232">
          <cell r="A232" t="str">
            <v>ITOT-SWHSTG-SOL</v>
          </cell>
          <cell r="B232" t="str">
            <v>VAR_ncap</v>
          </cell>
          <cell r="C232" t="str">
            <v>-</v>
          </cell>
          <cell r="D232">
            <v>1.5227903510906899E-5</v>
          </cell>
          <cell r="E232">
            <v>2.19335287661385E-8</v>
          </cell>
          <cell r="F232">
            <v>2.3240639671624201E-2</v>
          </cell>
          <cell r="G232">
            <v>9.4366742249147505E-5</v>
          </cell>
          <cell r="H232">
            <v>2.0800822966121301E-2</v>
          </cell>
          <cell r="I232">
            <v>1.6449952962659701E-3</v>
          </cell>
          <cell r="J232"/>
        </row>
        <row r="233">
          <cell r="A233" t="str">
            <v>ITOT-SWHSTG-SOL</v>
          </cell>
          <cell r="B233" t="str">
            <v>VAR_cap</v>
          </cell>
          <cell r="C233" t="str">
            <v>-</v>
          </cell>
          <cell r="D233">
            <v>1.5227903510906899E-5</v>
          </cell>
          <cell r="E233">
            <v>1.5249837039673099E-5</v>
          </cell>
          <cell r="F233">
            <v>2.32558895086638E-2</v>
          </cell>
          <cell r="G233">
            <v>2.3350256250912999E-2</v>
          </cell>
          <cell r="H233">
            <v>2.50832405090196E-2</v>
          </cell>
          <cell r="I233">
            <v>1.6783800534972301E-2</v>
          </cell>
          <cell r="J233"/>
        </row>
        <row r="234">
          <cell r="A234" t="str">
            <v>RHES-SHLTHCHPNGA</v>
          </cell>
          <cell r="B234" t="str">
            <v>VAR_fout</v>
          </cell>
          <cell r="C234" t="str">
            <v>RHES-SHLTHC-NGA</v>
          </cell>
          <cell r="D234">
            <v>3.0814671858277572E-2</v>
          </cell>
          <cell r="E234">
            <v>1.8344783767829598E-2</v>
          </cell>
          <cell r="F234"/>
          <cell r="G234"/>
          <cell r="H234"/>
          <cell r="I234"/>
          <cell r="J234"/>
          <cell r="K234"/>
        </row>
        <row r="235">
          <cell r="A235" t="str">
            <v>RHES-SHLTHCHPNGA</v>
          </cell>
          <cell r="B235" t="str">
            <v>VAR_fin</v>
          </cell>
          <cell r="C235" t="str">
            <v>RHESLTHCHPC</v>
          </cell>
          <cell r="D235">
            <v>3.0814671858277572E-2</v>
          </cell>
          <cell r="E235">
            <v>1.8344783767829598E-2</v>
          </cell>
          <cell r="F235"/>
          <cell r="G235"/>
          <cell r="H235"/>
          <cell r="I235"/>
          <cell r="J235"/>
        </row>
        <row r="236">
          <cell r="A236" t="str">
            <v>RHES-SHLTHCHPNGA</v>
          </cell>
          <cell r="B236" t="str">
            <v>VAR_fin</v>
          </cell>
          <cell r="C236" t="str">
            <v>RHES_LTH_CHPNGA_ON</v>
          </cell>
          <cell r="D236">
            <v>3.112593116997733E-2</v>
          </cell>
          <cell r="E236">
            <v>1.8530084613969319E-2</v>
          </cell>
          <cell r="F236"/>
          <cell r="G236"/>
          <cell r="H236"/>
          <cell r="I236"/>
          <cell r="J236"/>
          <cell r="K236"/>
        </row>
        <row r="237">
          <cell r="A237" t="str">
            <v>RHES-SHLTHCHPNGA</v>
          </cell>
          <cell r="B237" t="str">
            <v>VAR_ncap</v>
          </cell>
          <cell r="C237" t="str">
            <v>-</v>
          </cell>
          <cell r="D237"/>
          <cell r="E237">
            <v>1.45041232259802E-3</v>
          </cell>
          <cell r="F237">
            <v>1.12785736081438E-3</v>
          </cell>
          <cell r="G237">
            <v>3.7090727832251197E-4</v>
          </cell>
          <cell r="H237">
            <v>2.8300697654792199E-4</v>
          </cell>
          <cell r="I237">
            <v>1.37526766813183E-4</v>
          </cell>
          <cell r="J237"/>
          <cell r="K237"/>
        </row>
        <row r="238">
          <cell r="A238" t="str">
            <v>RHES-SHLTHCHPNGA</v>
          </cell>
          <cell r="B238" t="str">
            <v>VAR_cap</v>
          </cell>
          <cell r="C238" t="str">
            <v>-</v>
          </cell>
          <cell r="D238">
            <v>5.3757649990155603E-3</v>
          </cell>
          <cell r="E238">
            <v>2.2858020162477705E-3</v>
          </cell>
          <cell r="F238">
            <v>1.7624235514249005E-3</v>
          </cell>
          <cell r="G238">
            <v>8.4136290724517136E-4</v>
          </cell>
          <cell r="H238">
            <v>5.3182164321574101E-4</v>
          </cell>
          <cell r="I238">
            <v>2.3701979731783994E-4</v>
          </cell>
          <cell r="J238"/>
          <cell r="K238"/>
        </row>
        <row r="239">
          <cell r="A239" t="str">
            <v>RHSA-WHSTG-ELC</v>
          </cell>
          <cell r="B239" t="str">
            <v>VAR_fout</v>
          </cell>
          <cell r="C239" t="str">
            <v>RHSA-WHAELCB</v>
          </cell>
          <cell r="D239">
            <v>4.868043766842467E-7</v>
          </cell>
          <cell r="E239">
            <v>1.621328485719789E-6</v>
          </cell>
          <cell r="F239">
            <v>0.77436154591947015</v>
          </cell>
          <cell r="G239">
            <v>0.45271248156048721</v>
          </cell>
          <cell r="H239">
            <v>0.2065156659937343</v>
          </cell>
          <cell r="I239">
            <v>0.14715072745393171</v>
          </cell>
          <cell r="J239"/>
          <cell r="K239"/>
        </row>
        <row r="240">
          <cell r="A240" t="str">
            <v>RHSA-WHSTG-ELC</v>
          </cell>
          <cell r="B240" t="str">
            <v>VAR_fin</v>
          </cell>
          <cell r="C240" t="str">
            <v>RHSA-WHAELCB</v>
          </cell>
          <cell r="D240">
            <v>6.2352795893606114E-6</v>
          </cell>
          <cell r="E240">
            <v>3.5298273542462571E-7</v>
          </cell>
          <cell r="F240">
            <v>0.7743755786806793</v>
          </cell>
          <cell r="G240">
            <v>0.45272032347425167</v>
          </cell>
          <cell r="H240">
            <v>0.20651935191198367</v>
          </cell>
          <cell r="I240">
            <v>0.14715360455101772</v>
          </cell>
          <cell r="J240"/>
          <cell r="K240"/>
        </row>
        <row r="241">
          <cell r="A241" t="str">
            <v>RHSA-WHSTG-ELC</v>
          </cell>
          <cell r="B241" t="str">
            <v>VAR_ncap</v>
          </cell>
          <cell r="C241" t="str">
            <v>-</v>
          </cell>
          <cell r="D241">
            <v>1.1705224192067499E-2</v>
          </cell>
          <cell r="E241">
            <v>9.9329907120211003E-2</v>
          </cell>
          <cell r="F241">
            <v>2.59167577255018E-5</v>
          </cell>
          <cell r="G241">
            <v>2.88118904782454E-5</v>
          </cell>
          <cell r="H241">
            <v>2.6385138015130299E-2</v>
          </cell>
          <cell r="I241">
            <v>9.2193413256233796E-3</v>
          </cell>
          <cell r="J241"/>
        </row>
        <row r="242">
          <cell r="A242" t="str">
            <v>RHSA-WHSTG-ELC</v>
          </cell>
          <cell r="B242" t="str">
            <v>VAR_cap</v>
          </cell>
          <cell r="C242" t="str">
            <v>-</v>
          </cell>
          <cell r="D242">
            <v>1.1706133560956221E-2</v>
          </cell>
          <cell r="E242">
            <v>0.11101291173607736</v>
          </cell>
          <cell r="F242">
            <v>7.7393103232776012E-2</v>
          </cell>
          <cell r="G242">
            <v>5.7366589654974515E-2</v>
          </cell>
          <cell r="H242">
            <v>3.0390418278108084E-2</v>
          </cell>
          <cell r="I242">
            <v>3.0013287067060985E-2</v>
          </cell>
          <cell r="J242"/>
          <cell r="K242"/>
        </row>
        <row r="243">
          <cell r="A243" t="str">
            <v>ITOT-SWHLFOBR</v>
          </cell>
          <cell r="B243" t="str">
            <v>VAR_fout</v>
          </cell>
          <cell r="C243" t="str">
            <v>ITOT-SWH</v>
          </cell>
          <cell r="D243">
            <v>6.9177082137090657</v>
          </cell>
          <cell r="E243">
            <v>6.1927650881666976</v>
          </cell>
          <cell r="F243">
            <v>6.192517009273387</v>
          </cell>
          <cell r="G243">
            <v>4.9255356347902683</v>
          </cell>
          <cell r="H243">
            <v>2.4558533039415571</v>
          </cell>
          <cell r="I243">
            <v>0.15700166195947507</v>
          </cell>
          <cell r="J243"/>
          <cell r="K243"/>
        </row>
        <row r="244">
          <cell r="A244" t="str">
            <v>ITOT-SWHLFOBR</v>
          </cell>
          <cell r="B244" t="str">
            <v>VAR_fout</v>
          </cell>
          <cell r="C244" t="str">
            <v>CO2_I</v>
          </cell>
          <cell r="D244">
            <v>655.76839592052295</v>
          </cell>
          <cell r="E244">
            <v>586.09879548320203</v>
          </cell>
          <cell r="F244">
            <v>584.65884459132599</v>
          </cell>
          <cell r="G244">
            <v>463.17264403932001</v>
          </cell>
          <cell r="H244">
            <v>229.09784941310099</v>
          </cell>
          <cell r="I244">
            <v>14.5304650721085</v>
          </cell>
          <cell r="J244"/>
          <cell r="K244"/>
        </row>
        <row r="245">
          <cell r="A245" t="str">
            <v>ITOT-SWHLFOBR</v>
          </cell>
          <cell r="B245" t="str">
            <v>VAR_fin</v>
          </cell>
          <cell r="C245" t="str">
            <v>ILFO</v>
          </cell>
          <cell r="D245">
            <v>8.897807271648885</v>
          </cell>
          <cell r="E245">
            <v>7.9524938328792727</v>
          </cell>
          <cell r="F245">
            <v>7.9329558289189439</v>
          </cell>
          <cell r="G245">
            <v>6.2845677617275415</v>
          </cell>
          <cell r="H245">
            <v>3.1085189879660926</v>
          </cell>
          <cell r="I245">
            <v>0.19715692092413098</v>
          </cell>
          <cell r="J245"/>
        </row>
        <row r="246">
          <cell r="A246" t="str">
            <v>ITOT-SWHLFOBR</v>
          </cell>
          <cell r="B246" t="str">
            <v>VAR_ncap</v>
          </cell>
          <cell r="C246" t="str">
            <v>-</v>
          </cell>
          <cell r="D246"/>
          <cell r="E246">
            <v>1.21999926852377E-4</v>
          </cell>
          <cell r="F246">
            <v>6.7075301100384403E-5</v>
          </cell>
          <cell r="G246">
            <v>3.6342413992889902E-5</v>
          </cell>
          <cell r="H246">
            <v>9.06728876845511E-4</v>
          </cell>
          <cell r="I246">
            <v>1.87792660025186E-4</v>
          </cell>
          <cell r="J246"/>
          <cell r="K246"/>
        </row>
        <row r="247">
          <cell r="A247" t="str">
            <v>ITOT-SWHLFOBR</v>
          </cell>
          <cell r="B247" t="str">
            <v>VAR_cap</v>
          </cell>
          <cell r="C247" t="str">
            <v>-</v>
          </cell>
          <cell r="D247">
            <v>0.37633543963083199</v>
          </cell>
          <cell r="E247">
            <v>0.37643217781007415</v>
          </cell>
          <cell r="F247">
            <v>0.37644540427814505</v>
          </cell>
          <cell r="G247">
            <v>0.35693161508191196</v>
          </cell>
          <cell r="H247">
            <v>0.16990897433019725</v>
          </cell>
          <cell r="I247">
            <v>1.2696772974569503E-2</v>
          </cell>
          <cell r="J247"/>
          <cell r="K247"/>
        </row>
        <row r="248">
          <cell r="A248" t="str">
            <v>D-SCOM_LTH_CHPNGA</v>
          </cell>
          <cell r="B248" t="str">
            <v>VAR_fout</v>
          </cell>
          <cell r="C248" t="str">
            <v>LTH</v>
          </cell>
          <cell r="D248"/>
          <cell r="E248">
            <v>2.3397867142877238E-5</v>
          </cell>
          <cell r="F248"/>
          <cell r="G248"/>
          <cell r="H248"/>
          <cell r="I248"/>
          <cell r="J248"/>
        </row>
        <row r="249">
          <cell r="A249" t="str">
            <v>D-SCOM_LTH_CHPNGA</v>
          </cell>
          <cell r="B249" t="str">
            <v>VAR_fout</v>
          </cell>
          <cell r="C249" t="str">
            <v>SCOM_LTH_CHPNGA_ON</v>
          </cell>
          <cell r="D249">
            <v>0.69257808329142456</v>
          </cell>
          <cell r="E249">
            <v>0.75019454592383661</v>
          </cell>
          <cell r="F249"/>
          <cell r="G249"/>
          <cell r="H249"/>
          <cell r="I249"/>
          <cell r="J249"/>
        </row>
        <row r="250">
          <cell r="A250" t="str">
            <v>D-SCOM_LTH_CHPNGA</v>
          </cell>
          <cell r="B250" t="str">
            <v>VAR_fin</v>
          </cell>
          <cell r="C250" t="str">
            <v>SCOM_LTH_CHPNGA</v>
          </cell>
          <cell r="D250">
            <v>0.69257808329142456</v>
          </cell>
          <cell r="E250">
            <v>0.75021794379097961</v>
          </cell>
          <cell r="F250"/>
          <cell r="G250"/>
          <cell r="H250"/>
          <cell r="I250"/>
          <cell r="J250"/>
        </row>
        <row r="251">
          <cell r="A251" t="str">
            <v>RHSA-WHCONBR3</v>
          </cell>
          <cell r="B251" t="str">
            <v>VAR_ncap</v>
          </cell>
          <cell r="C251" t="str">
            <v>-</v>
          </cell>
          <cell r="D251"/>
          <cell r="E251"/>
          <cell r="F251">
            <v>375</v>
          </cell>
          <cell r="G251">
            <v>5.3546708989194798</v>
          </cell>
          <cell r="H251"/>
          <cell r="I251"/>
          <cell r="J251"/>
        </row>
        <row r="252">
          <cell r="A252" t="str">
            <v>RHSA-WHCONBR3</v>
          </cell>
          <cell r="B252" t="str">
            <v>VAR_cap</v>
          </cell>
          <cell r="C252" t="str">
            <v>-</v>
          </cell>
          <cell r="D252"/>
          <cell r="E252"/>
          <cell r="F252">
            <v>375</v>
          </cell>
          <cell r="G252">
            <v>13.250580098570993</v>
          </cell>
          <cell r="H252">
            <v>7.1399867705630413</v>
          </cell>
          <cell r="I252">
            <v>3.2078828560939883</v>
          </cell>
          <cell r="J252"/>
          <cell r="K252"/>
        </row>
        <row r="253">
          <cell r="A253" t="str">
            <v>D-IWOD</v>
          </cell>
          <cell r="B253" t="str">
            <v>VAR_fout</v>
          </cell>
          <cell r="C253" t="str">
            <v>IWOD</v>
          </cell>
          <cell r="D253">
            <v>9.8754430811262353</v>
          </cell>
          <cell r="E253">
            <v>12.919989305037829</v>
          </cell>
          <cell r="F253">
            <v>15.433187970270803</v>
          </cell>
          <cell r="G253">
            <v>14.013399345640822</v>
          </cell>
          <cell r="H253">
            <v>23.613081827529481</v>
          </cell>
          <cell r="I253">
            <v>17.168570953090057</v>
          </cell>
          <cell r="J253"/>
          <cell r="K253"/>
        </row>
        <row r="254">
          <cell r="A254" t="str">
            <v>D-IWOD</v>
          </cell>
          <cell r="B254" t="str">
            <v>VAR_fin</v>
          </cell>
          <cell r="C254" t="str">
            <v>WOD</v>
          </cell>
          <cell r="D254">
            <v>9.8754430811262353</v>
          </cell>
          <cell r="E254">
            <v>12.919989305037829</v>
          </cell>
          <cell r="F254">
            <v>15.433187970270803</v>
          </cell>
          <cell r="G254">
            <v>14.013399345640822</v>
          </cell>
          <cell r="H254">
            <v>23.613081827529481</v>
          </cell>
          <cell r="I254">
            <v>17.168570953090057</v>
          </cell>
          <cell r="J254"/>
          <cell r="K254"/>
        </row>
        <row r="255">
          <cell r="A255" t="str">
            <v>RHSA-WHCONBR4</v>
          </cell>
          <cell r="B255" t="str">
            <v>VAR_ncap</v>
          </cell>
          <cell r="C255" t="str">
            <v>-</v>
          </cell>
          <cell r="D255"/>
          <cell r="E255"/>
          <cell r="F255">
            <v>375</v>
          </cell>
          <cell r="G255">
            <v>5.3546708989193998</v>
          </cell>
          <cell r="H255"/>
          <cell r="I255"/>
          <cell r="J255"/>
        </row>
        <row r="256">
          <cell r="A256" t="str">
            <v>RHSA-WHCONBR4</v>
          </cell>
          <cell r="B256" t="str">
            <v>VAR_cap</v>
          </cell>
          <cell r="C256" t="str">
            <v>-</v>
          </cell>
          <cell r="D256"/>
          <cell r="E256"/>
          <cell r="F256">
            <v>375</v>
          </cell>
          <cell r="G256">
            <v>13.250580098571959</v>
          </cell>
          <cell r="H256">
            <v>7.1399867705630413</v>
          </cell>
          <cell r="I256">
            <v>3.2078828560950114</v>
          </cell>
          <cell r="J256"/>
        </row>
        <row r="257">
          <cell r="A257" t="str">
            <v>SCOM-ELCSPEC</v>
          </cell>
          <cell r="B257" t="str">
            <v>VAR_fout</v>
          </cell>
          <cell r="C257" t="str">
            <v>SCOM-ELS</v>
          </cell>
          <cell r="D257">
            <v>56.994774574912441</v>
          </cell>
          <cell r="E257">
            <v>58.70189536745044</v>
          </cell>
          <cell r="F257">
            <v>50.292875019903406</v>
          </cell>
          <cell r="G257">
            <v>41.404146126111513</v>
          </cell>
          <cell r="H257">
            <v>28.546910080719282</v>
          </cell>
          <cell r="I257">
            <v>18.387685398736391</v>
          </cell>
          <cell r="J257"/>
          <cell r="K257"/>
        </row>
        <row r="258">
          <cell r="A258" t="str">
            <v>SCOM-ELCSPEC</v>
          </cell>
          <cell r="B258" t="str">
            <v>VAR_fin</v>
          </cell>
          <cell r="C258" t="str">
            <v>SCOM_ELC</v>
          </cell>
          <cell r="D258">
            <v>56.994774574912441</v>
          </cell>
          <cell r="E258">
            <v>58.70189536745044</v>
          </cell>
          <cell r="F258">
            <v>50.292875019903406</v>
          </cell>
          <cell r="G258">
            <v>41.404146126111513</v>
          </cell>
          <cell r="H258">
            <v>28.546910080719282</v>
          </cell>
          <cell r="I258">
            <v>18.387685398736391</v>
          </cell>
          <cell r="J258"/>
        </row>
        <row r="259">
          <cell r="A259" t="str">
            <v>SCOM-ELCSPEC</v>
          </cell>
          <cell r="B259" t="str">
            <v>VAR_ncap</v>
          </cell>
          <cell r="C259" t="str">
            <v>-</v>
          </cell>
          <cell r="D259">
            <v>4.9178622359053496E-7</v>
          </cell>
          <cell r="E259">
            <v>3.3710989860901401E-6</v>
          </cell>
          <cell r="F259">
            <v>2.3023300103602399E-6</v>
          </cell>
          <cell r="G259">
            <v>1.9050156940498201E-6</v>
          </cell>
          <cell r="H259">
            <v>2.8924217219593499E-6</v>
          </cell>
          <cell r="I259">
            <v>1.6755357709793399</v>
          </cell>
          <cell r="J259"/>
          <cell r="K259"/>
        </row>
        <row r="260">
          <cell r="A260" t="str">
            <v>SCOM-ELCSPEC</v>
          </cell>
          <cell r="B260" t="str">
            <v>VAR_cap</v>
          </cell>
          <cell r="C260" t="str">
            <v>-</v>
          </cell>
          <cell r="D260">
            <v>6.6055317601400834</v>
          </cell>
          <cell r="E260">
            <v>6.2047544438564639</v>
          </cell>
          <cell r="F260">
            <v>5.3159274865436199</v>
          </cell>
          <cell r="G260">
            <v>4.3763921271799839</v>
          </cell>
          <cell r="H260">
            <v>3.0173937818848047</v>
          </cell>
          <cell r="I260">
            <v>1.9435664299351498</v>
          </cell>
          <cell r="J260"/>
          <cell r="K260"/>
        </row>
        <row r="261">
          <cell r="A261" t="str">
            <v>D-ITOT_KEV_WST_ELC_CHP</v>
          </cell>
          <cell r="B261" t="str">
            <v>VAR_fout</v>
          </cell>
          <cell r="C261" t="str">
            <v>ITOT_ELC</v>
          </cell>
          <cell r="D261">
            <v>1.2045776670602344E-3</v>
          </cell>
          <cell r="E261">
            <v>4.5038482992335786E-4</v>
          </cell>
          <cell r="F261">
            <v>9.0875101100913985E-4</v>
          </cell>
          <cell r="G261">
            <v>0.33755658863542876</v>
          </cell>
          <cell r="H261">
            <v>0.28928768796553678</v>
          </cell>
          <cell r="I261">
            <v>0.48489130322111873</v>
          </cell>
          <cell r="J261"/>
          <cell r="K261"/>
        </row>
        <row r="262">
          <cell r="A262" t="str">
            <v>D-ITOT_KEV_WST_ELC_CHP</v>
          </cell>
          <cell r="B262" t="str">
            <v>VAR_fout</v>
          </cell>
          <cell r="C262" t="str">
            <v>ELC5</v>
          </cell>
          <cell r="D262">
            <v>0.22883756067859687</v>
          </cell>
          <cell r="E262">
            <v>0.22609665826698891</v>
          </cell>
          <cell r="F262">
            <v>0.3358000356070272</v>
          </cell>
          <cell r="G262">
            <v>6.1576574203615038E-3</v>
          </cell>
          <cell r="H262">
            <v>3.1563982041902867E-2</v>
          </cell>
          <cell r="I262">
            <v>0.10797510689812409</v>
          </cell>
          <cell r="J262"/>
          <cell r="K262"/>
        </row>
        <row r="263">
          <cell r="A263" t="str">
            <v>D-ITOT_KEV_WST_ELC_CHP</v>
          </cell>
          <cell r="B263" t="str">
            <v>VAR_fin</v>
          </cell>
          <cell r="C263" t="str">
            <v>ITOT_KEV_WST_ELC_CHP</v>
          </cell>
          <cell r="D263">
            <v>0.23004213834565715</v>
          </cell>
          <cell r="E263">
            <v>0.22654704309691229</v>
          </cell>
          <cell r="F263">
            <v>0.33670699221493644</v>
          </cell>
          <cell r="G263">
            <v>0.34371067707724789</v>
          </cell>
          <cell r="H263">
            <v>0.32085167000743992</v>
          </cell>
          <cell r="I263">
            <v>0.59286641011924301</v>
          </cell>
          <cell r="J263"/>
        </row>
        <row r="264">
          <cell r="A264" t="str">
            <v>RHSA-WHCONBR5</v>
          </cell>
          <cell r="B264" t="str">
            <v>VAR_ncap</v>
          </cell>
          <cell r="C264" t="str">
            <v>-</v>
          </cell>
          <cell r="D264"/>
          <cell r="E264"/>
          <cell r="F264">
            <v>375</v>
          </cell>
          <cell r="G264">
            <v>5.3546708989194798</v>
          </cell>
          <cell r="H264"/>
          <cell r="I264"/>
          <cell r="J264"/>
        </row>
        <row r="265">
          <cell r="A265" t="str">
            <v>RHSA-WHCONBR5</v>
          </cell>
          <cell r="B265" t="str">
            <v>VAR_cap</v>
          </cell>
          <cell r="C265" t="str">
            <v>-</v>
          </cell>
          <cell r="D265"/>
          <cell r="E265"/>
          <cell r="F265">
            <v>375</v>
          </cell>
          <cell r="G265">
            <v>13.250580098570993</v>
          </cell>
          <cell r="H265">
            <v>7.1399867705630413</v>
          </cell>
          <cell r="I265">
            <v>3.2078828560939883</v>
          </cell>
          <cell r="J265"/>
        </row>
        <row r="266">
          <cell r="A266" t="str">
            <v>D-RHNM_SOLELC</v>
          </cell>
          <cell r="B266" t="str">
            <v>VAR_fout</v>
          </cell>
          <cell r="C266" t="str">
            <v>ELC5</v>
          </cell>
          <cell r="D266"/>
          <cell r="E266">
            <v>2.8312755821588689E-5</v>
          </cell>
          <cell r="F266">
            <v>1.1216401516767973</v>
          </cell>
          <cell r="G266">
            <v>1.8944196466638179</v>
          </cell>
          <cell r="H266">
            <v>2.7102344676453676</v>
          </cell>
          <cell r="I266">
            <v>2.8042813309016772</v>
          </cell>
          <cell r="J266"/>
        </row>
        <row r="267">
          <cell r="A267" t="str">
            <v>D-RHNM_SOLELC</v>
          </cell>
          <cell r="B267" t="str">
            <v>VAR_fout</v>
          </cell>
          <cell r="C267" t="str">
            <v>RHNM_ELC</v>
          </cell>
          <cell r="D267"/>
          <cell r="E267">
            <v>2.8458081858781314E-5</v>
          </cell>
          <cell r="F267">
            <v>0.9603267334888147</v>
          </cell>
          <cell r="G267">
            <v>2.6473244419277844</v>
          </cell>
          <cell r="H267">
            <v>2.3066941904240621</v>
          </cell>
          <cell r="I267">
            <v>2.7375375587796666</v>
          </cell>
          <cell r="J267"/>
        </row>
        <row r="268">
          <cell r="A268" t="str">
            <v>D-RHNM_SOLELC</v>
          </cell>
          <cell r="B268" t="str">
            <v>VAR_fin</v>
          </cell>
          <cell r="C268" t="str">
            <v>RHNM_SOL_ELC</v>
          </cell>
          <cell r="D268"/>
          <cell r="E268">
            <v>5.5764472766988003E-5</v>
          </cell>
          <cell r="F268">
            <v>2.0819634171842232</v>
          </cell>
          <cell r="G268">
            <v>4.541739984884642</v>
          </cell>
          <cell r="H268">
            <v>5.0169231182805998</v>
          </cell>
          <cell r="I268">
            <v>5.5418136127359885</v>
          </cell>
          <cell r="J268"/>
        </row>
        <row r="269">
          <cell r="A269" t="str">
            <v>RHNM-SHSTG-ELCHP</v>
          </cell>
          <cell r="B269" t="str">
            <v>VAR_fout</v>
          </cell>
          <cell r="C269" t="str">
            <v>RHNM-SHAELCH</v>
          </cell>
          <cell r="D269"/>
          <cell r="E269">
            <v>1.0374540349433396E-5</v>
          </cell>
          <cell r="F269">
            <v>0.21530785716474984</v>
          </cell>
          <cell r="G269">
            <v>0.31370767091315616</v>
          </cell>
          <cell r="H269">
            <v>0.47055370631283222</v>
          </cell>
          <cell r="I269">
            <v>0.50464153972131487</v>
          </cell>
          <cell r="J269"/>
        </row>
        <row r="270">
          <cell r="A270" t="str">
            <v>RHNM-SHSTG-ELCHP</v>
          </cell>
          <cell r="B270" t="str">
            <v>VAR_fin</v>
          </cell>
          <cell r="C270" t="str">
            <v>RHNM-SHAELCH</v>
          </cell>
          <cell r="D270"/>
          <cell r="E270">
            <v>9.8540563391003831E-6</v>
          </cell>
          <cell r="F270">
            <v>0.21531431742878926</v>
          </cell>
          <cell r="G270">
            <v>0.31371930775709267</v>
          </cell>
          <cell r="H270">
            <v>0.47057516983809278</v>
          </cell>
          <cell r="I270">
            <v>0.50466392647951397</v>
          </cell>
          <cell r="J270"/>
          <cell r="K270"/>
        </row>
        <row r="271">
          <cell r="A271" t="str">
            <v>RHNM-SHSTG-ELCHP</v>
          </cell>
          <cell r="B271" t="str">
            <v>VAR_ncap</v>
          </cell>
          <cell r="C271" t="str">
            <v>-</v>
          </cell>
          <cell r="D271">
            <v>5.2218362729613002E-5</v>
          </cell>
          <cell r="E271">
            <v>5.5429165673070302E-5</v>
          </cell>
          <cell r="F271">
            <v>1.61505445224626E-2</v>
          </cell>
          <cell r="G271">
            <v>1.2313605457153799E-2</v>
          </cell>
          <cell r="H271">
            <v>2.4533747143880999E-2</v>
          </cell>
          <cell r="I271">
            <v>3.2666918625399499E-2</v>
          </cell>
          <cell r="J271"/>
          <cell r="K271"/>
        </row>
        <row r="272">
          <cell r="A272" t="str">
            <v>RHNM-SHSTG-ELCHP</v>
          </cell>
          <cell r="B272" t="str">
            <v>VAR_cap</v>
          </cell>
          <cell r="C272" t="str">
            <v>-</v>
          </cell>
          <cell r="D272">
            <v>5.2218362729613002E-5</v>
          </cell>
          <cell r="E272">
            <v>9.5379646965439103E-5</v>
          </cell>
          <cell r="F272">
            <v>1.6224088318991137E-2</v>
          </cell>
          <cell r="G272">
            <v>2.85056944546607E-2</v>
          </cell>
          <cell r="H272">
            <v>4.4032765460479309E-2</v>
          </cell>
          <cell r="I272">
            <v>5.3928865422447306E-2</v>
          </cell>
          <cell r="J272"/>
          <cell r="K272"/>
        </row>
        <row r="273">
          <cell r="A273" t="str">
            <v>D-SCOM_LTH</v>
          </cell>
          <cell r="B273" t="str">
            <v>VAR_fout</v>
          </cell>
          <cell r="C273" t="str">
            <v>SCOM_LTH_DH</v>
          </cell>
          <cell r="D273">
            <v>5.6100039313269772</v>
          </cell>
          <cell r="E273">
            <v>6.0767049715800754</v>
          </cell>
          <cell r="F273">
            <v>6.8674032595687251</v>
          </cell>
          <cell r="G273">
            <v>8.3290056176157812</v>
          </cell>
          <cell r="H273">
            <v>8.1522905379863602</v>
          </cell>
          <cell r="I273">
            <v>6.9557151024256498</v>
          </cell>
          <cell r="J273"/>
          <cell r="K273"/>
        </row>
        <row r="274">
          <cell r="A274" t="str">
            <v>D-SCOM_LTH</v>
          </cell>
          <cell r="B274" t="str">
            <v>VAR_fin</v>
          </cell>
          <cell r="C274" t="str">
            <v>LTH</v>
          </cell>
          <cell r="D274">
            <v>6.0987800075471092</v>
          </cell>
          <cell r="E274">
            <v>6.6044065747569443</v>
          </cell>
          <cell r="F274">
            <v>7.4608279791030734</v>
          </cell>
          <cell r="G274">
            <v>9.0427909911435638</v>
          </cell>
          <cell r="H274">
            <v>8.8393284359983966</v>
          </cell>
          <cell r="I274">
            <v>7.5320368790855667</v>
          </cell>
          <cell r="J274"/>
          <cell r="K274"/>
        </row>
        <row r="275">
          <cell r="A275" t="str">
            <v>D-SCOM_LTH</v>
          </cell>
          <cell r="B275" t="str">
            <v>VAR_ncap</v>
          </cell>
          <cell r="C275" t="str">
            <v>-</v>
          </cell>
          <cell r="D275">
            <v>0.84970024845882697</v>
          </cell>
          <cell r="E275">
            <v>8.0164711759327795E-8</v>
          </cell>
          <cell r="F275">
            <v>9.1985153734822296E-8</v>
          </cell>
          <cell r="G275">
            <v>1.06284386491287E-7</v>
          </cell>
          <cell r="H275">
            <v>1.9512310414978999E-7</v>
          </cell>
          <cell r="I275">
            <v>1.79524410130291E-7</v>
          </cell>
          <cell r="J275"/>
          <cell r="K275"/>
        </row>
        <row r="276">
          <cell r="A276" t="str">
            <v>D-SCOM_LTH</v>
          </cell>
          <cell r="B276" t="str">
            <v>VAR_cap</v>
          </cell>
          <cell r="C276" t="str">
            <v>-</v>
          </cell>
          <cell r="D276">
            <v>0.84970024845882697</v>
          </cell>
          <cell r="E276">
            <v>0.84970032862353895</v>
          </cell>
          <cell r="F276">
            <v>0.849700420608692</v>
          </cell>
          <cell r="G276">
            <v>0.84970052689307896</v>
          </cell>
          <cell r="H276">
            <v>0.84970087843186004</v>
          </cell>
          <cell r="I276">
            <v>0.84970105795627004</v>
          </cell>
          <cell r="J276"/>
          <cell r="K276"/>
        </row>
        <row r="277">
          <cell r="A277" t="str">
            <v>ITOT-SWHBIOBR</v>
          </cell>
          <cell r="B277" t="str">
            <v>VAR_fout</v>
          </cell>
          <cell r="C277" t="str">
            <v>ITOT-SWH</v>
          </cell>
          <cell r="D277">
            <v>0.31051341427324913</v>
          </cell>
          <cell r="E277">
            <v>0.39251871957923484</v>
          </cell>
          <cell r="F277">
            <v>2.3370958379283207</v>
          </cell>
          <cell r="G277">
            <v>2.3370987419618419</v>
          </cell>
          <cell r="H277">
            <v>5.4707312606386669</v>
          </cell>
          <cell r="I277">
            <v>5.540002434375694</v>
          </cell>
          <cell r="J277"/>
          <cell r="K277"/>
        </row>
        <row r="278">
          <cell r="A278" t="str">
            <v>ITOT-SWHBIOBR</v>
          </cell>
          <cell r="B278" t="str">
            <v>VAR_fin</v>
          </cell>
          <cell r="C278" t="str">
            <v>IBIO</v>
          </cell>
          <cell r="D278">
            <v>0.43672772752918304</v>
          </cell>
          <cell r="E278">
            <v>0.55206570967543545</v>
          </cell>
          <cell r="F278">
            <v>3.2870546243717591</v>
          </cell>
          <cell r="G278">
            <v>3.2870587088070895</v>
          </cell>
          <cell r="H278">
            <v>7.6944180880994013</v>
          </cell>
          <cell r="I278">
            <v>7.6944478255217961</v>
          </cell>
          <cell r="J278"/>
        </row>
        <row r="279">
          <cell r="A279" t="str">
            <v>ITOT-SWHBIOBR</v>
          </cell>
          <cell r="B279" t="str">
            <v>VAR_ncap</v>
          </cell>
          <cell r="C279" t="str">
            <v>-</v>
          </cell>
          <cell r="D279"/>
          <cell r="E279">
            <v>1.79674432917994E-2</v>
          </cell>
          <cell r="F279">
            <v>9.9114430491803504E-2</v>
          </cell>
          <cell r="G279">
            <v>1.6565153595400999E-4</v>
          </cell>
          <cell r="H279">
            <v>0.17022530255872201</v>
          </cell>
          <cell r="I279">
            <v>0.15080956171556301</v>
          </cell>
          <cell r="J279"/>
          <cell r="K279"/>
        </row>
        <row r="280">
          <cell r="A280" t="str">
            <v>ITOT-SWHBIOBR</v>
          </cell>
          <cell r="B280" t="str">
            <v>VAR_cap</v>
          </cell>
          <cell r="C280" t="str">
            <v>-</v>
          </cell>
          <cell r="D280">
            <v>1.7013611085743299E-2</v>
          </cell>
          <cell r="E280">
            <v>3.4977149243269848E-2</v>
          </cell>
          <cell r="F280">
            <v>0.13408138570229172</v>
          </cell>
          <cell r="G280">
            <v>0.13421207762236895</v>
          </cell>
          <cell r="H280">
            <v>0.39861763438464887</v>
          </cell>
          <cell r="I280">
            <v>0.35791117589811267</v>
          </cell>
          <cell r="J280"/>
          <cell r="K280"/>
        </row>
        <row r="281">
          <cell r="A281" t="str">
            <v>RHNS-SHPLTBR</v>
          </cell>
          <cell r="B281" t="str">
            <v>VAR_fout</v>
          </cell>
          <cell r="C281" t="str">
            <v>RHNS-SHPLT</v>
          </cell>
          <cell r="D281"/>
          <cell r="E281"/>
          <cell r="F281">
            <v>5.9974904508836998E-6</v>
          </cell>
          <cell r="G281">
            <v>3.861796318031206E-6</v>
          </cell>
          <cell r="H281">
            <v>5.5880041343279695E-7</v>
          </cell>
          <cell r="I281"/>
          <cell r="J281"/>
        </row>
        <row r="282">
          <cell r="A282" t="str">
            <v>RHNS-SHPLTBR</v>
          </cell>
          <cell r="B282" t="str">
            <v>VAR_fin</v>
          </cell>
          <cell r="C282" t="str">
            <v>RPLT</v>
          </cell>
          <cell r="D282"/>
          <cell r="E282"/>
          <cell r="F282">
            <v>8.1998797543432822E-6</v>
          </cell>
          <cell r="G282">
            <v>5.2799192767294301E-6</v>
          </cell>
          <cell r="H282">
            <v>7.64002249666126E-7</v>
          </cell>
          <cell r="I282"/>
          <cell r="J282"/>
          <cell r="K282"/>
        </row>
        <row r="283">
          <cell r="A283" t="str">
            <v>RHNS-SHPLTBR</v>
          </cell>
          <cell r="B283" t="str">
            <v>VAR_ncap</v>
          </cell>
          <cell r="C283" t="str">
            <v>-</v>
          </cell>
          <cell r="D283"/>
          <cell r="E283">
            <v>8.3659734472043896E-7</v>
          </cell>
          <cell r="F283">
            <v>3.9102180475928201E-5</v>
          </cell>
          <cell r="G283">
            <v>3.0679413302137002E-6</v>
          </cell>
          <cell r="H283">
            <v>1.53623911937197E-5</v>
          </cell>
          <cell r="I283">
            <v>1.3677910084862299E-7</v>
          </cell>
          <cell r="J283"/>
          <cell r="K283"/>
        </row>
        <row r="284">
          <cell r="A284" t="str">
            <v>RHNS-SHPLTBR</v>
          </cell>
          <cell r="B284" t="str">
            <v>VAR_cap</v>
          </cell>
          <cell r="C284" t="str">
            <v>-</v>
          </cell>
          <cell r="D284"/>
          <cell r="E284">
            <v>8.3659734472043896E-7</v>
          </cell>
          <cell r="F284">
            <v>3.9836229269561082E-5</v>
          </cell>
          <cell r="G284">
            <v>4.2592491532233997E-5</v>
          </cell>
          <cell r="H284">
            <v>2.6394853912310488E-5</v>
          </cell>
          <cell r="I284">
            <v>3.3648645286289989E-6</v>
          </cell>
          <cell r="J284"/>
          <cell r="K284"/>
        </row>
        <row r="285">
          <cell r="A285" t="str">
            <v>D-RHNM_KEV_WOD_ELC_CHP</v>
          </cell>
          <cell r="B285" t="str">
            <v>VAR_fout</v>
          </cell>
          <cell r="C285" t="str">
            <v>ELC5</v>
          </cell>
          <cell r="D285"/>
          <cell r="E285"/>
          <cell r="F285"/>
          <cell r="G285">
            <v>2.6684777290869851E-3</v>
          </cell>
          <cell r="H285">
            <v>9.0767099294083173E-4</v>
          </cell>
          <cell r="I285">
            <v>4.6679244825972421E-4</v>
          </cell>
          <cell r="J285"/>
          <cell r="K285"/>
        </row>
        <row r="286">
          <cell r="A286" t="str">
            <v>D-RHNM_KEV_WOD_ELC_CHP</v>
          </cell>
          <cell r="B286" t="str">
            <v>VAR_fout</v>
          </cell>
          <cell r="C286" t="str">
            <v>RHNM_ELC</v>
          </cell>
          <cell r="D286"/>
          <cell r="E286"/>
          <cell r="F286"/>
          <cell r="G286">
            <v>3.7130499179819309E-4</v>
          </cell>
          <cell r="H286">
            <v>9.0705566512309607E-4</v>
          </cell>
          <cell r="I286">
            <v>4.6655113634980807E-4</v>
          </cell>
          <cell r="J286"/>
        </row>
        <row r="287">
          <cell r="A287" t="str">
            <v>D-RHNM_KEV_WOD_ELC_CHP</v>
          </cell>
          <cell r="B287" t="str">
            <v>VAR_fin</v>
          </cell>
          <cell r="C287" t="str">
            <v>RHNM_KEV_WOD_ELC_CHP</v>
          </cell>
          <cell r="D287"/>
          <cell r="E287"/>
          <cell r="F287"/>
          <cell r="G287">
            <v>3.0381766805411443E-3</v>
          </cell>
          <cell r="H287">
            <v>1.8094892164873698E-3</v>
          </cell>
          <cell r="I287">
            <v>9.297627220376881E-4</v>
          </cell>
          <cell r="J287"/>
          <cell r="K287"/>
        </row>
        <row r="288">
          <cell r="A288" t="str">
            <v>SCOM-SHLTHCHPNGA</v>
          </cell>
          <cell r="B288" t="str">
            <v>VAR_fout</v>
          </cell>
          <cell r="C288" t="str">
            <v>SCOM-SHLTHC-NGA</v>
          </cell>
          <cell r="D288">
            <v>0.68565230245850972</v>
          </cell>
          <cell r="E288">
            <v>0.74269260046459773</v>
          </cell>
          <cell r="F288"/>
          <cell r="G288"/>
          <cell r="H288"/>
          <cell r="I288"/>
          <cell r="J288"/>
        </row>
        <row r="289">
          <cell r="A289" t="str">
            <v>SCOM-SHLTHCHPNGA</v>
          </cell>
          <cell r="B289" t="str">
            <v>VAR_fin</v>
          </cell>
          <cell r="C289" t="str">
            <v>SCOMLTHCHPC</v>
          </cell>
          <cell r="D289">
            <v>0.68565230245850972</v>
          </cell>
          <cell r="E289">
            <v>0.74269260046459773</v>
          </cell>
          <cell r="F289"/>
          <cell r="G289"/>
          <cell r="H289"/>
          <cell r="I289"/>
          <cell r="J289"/>
          <cell r="K289"/>
        </row>
        <row r="290">
          <cell r="A290" t="str">
            <v>SCOM-SHLTHCHPNGA</v>
          </cell>
          <cell r="B290" t="str">
            <v>VAR_fin</v>
          </cell>
          <cell r="C290" t="str">
            <v>SCOM_LTH_CHPNGA_ON</v>
          </cell>
          <cell r="D290">
            <v>0.69257808329142456</v>
          </cell>
          <cell r="E290">
            <v>0.75019454592383661</v>
          </cell>
          <cell r="F290"/>
          <cell r="G290"/>
          <cell r="H290"/>
          <cell r="I290"/>
          <cell r="J290"/>
          <cell r="K290"/>
        </row>
        <row r="291">
          <cell r="A291" t="str">
            <v>SCOM-SHLTHCHPNGA</v>
          </cell>
          <cell r="B291" t="str">
            <v>VAR_ncap</v>
          </cell>
          <cell r="C291" t="str">
            <v>-</v>
          </cell>
          <cell r="D291">
            <v>6.0115601343627994E-8</v>
          </cell>
          <cell r="E291">
            <v>2.2752125416274801E-2</v>
          </cell>
          <cell r="F291">
            <v>2.6062920420694699E-4</v>
          </cell>
          <cell r="G291">
            <v>5.6418959059445E-5</v>
          </cell>
          <cell r="H291">
            <v>5.5800805689063503E-4</v>
          </cell>
          <cell r="I291">
            <v>1.00147347148717E-3</v>
          </cell>
          <cell r="J291"/>
          <cell r="K291"/>
        </row>
        <row r="292">
          <cell r="A292" t="str">
            <v>SCOM-SHLTHCHPNGA</v>
          </cell>
          <cell r="B292" t="str">
            <v>VAR_cap</v>
          </cell>
          <cell r="C292" t="str">
            <v>-</v>
          </cell>
          <cell r="D292">
            <v>7.5969329074128247E-2</v>
          </cell>
          <cell r="E292">
            <v>5.7388090437552608E-2</v>
          </cell>
          <cell r="F292">
            <v>4.0885825989830926E-4</v>
          </cell>
          <cell r="G292">
            <v>1.1853892104819741E-4</v>
          </cell>
          <cell r="H292">
            <v>7.9880067691526907E-4</v>
          </cell>
          <cell r="I292">
            <v>1.1436782987916041E-3</v>
          </cell>
          <cell r="J292"/>
          <cell r="K292"/>
        </row>
        <row r="293">
          <cell r="A293" t="str">
            <v>ITOT-PROCESSCO2</v>
          </cell>
          <cell r="B293" t="str">
            <v>VAR_fout</v>
          </cell>
          <cell r="C293" t="str">
            <v>CO2</v>
          </cell>
          <cell r="D293">
            <v>2089.34680048464</v>
          </cell>
          <cell r="E293">
            <v>2111.0131698740802</v>
          </cell>
          <cell r="F293">
            <v>2102.26947106126</v>
          </cell>
          <cell r="G293">
            <v>2093.6572515503899</v>
          </cell>
          <cell r="H293">
            <v>2077.4196143784802</v>
          </cell>
          <cell r="I293">
            <v>2063.7502177011402</v>
          </cell>
          <cell r="J293"/>
          <cell r="K293"/>
        </row>
        <row r="294">
          <cell r="A294" t="str">
            <v>ITOT-PROCESSCO2</v>
          </cell>
          <cell r="B294" t="str">
            <v>VAR_fout</v>
          </cell>
          <cell r="C294" t="str">
            <v>CO2P</v>
          </cell>
          <cell r="D294">
            <v>2089.34680048464</v>
          </cell>
          <cell r="E294">
            <v>2111.0131698740802</v>
          </cell>
          <cell r="F294">
            <v>2102.26947106126</v>
          </cell>
          <cell r="G294">
            <v>2093.6572515503963</v>
          </cell>
          <cell r="H294">
            <v>2077.4196143784748</v>
          </cell>
          <cell r="I294">
            <v>2063.7502177011397</v>
          </cell>
          <cell r="J294"/>
          <cell r="K294"/>
        </row>
        <row r="295">
          <cell r="A295" t="str">
            <v>RHNM-SHWODBR</v>
          </cell>
          <cell r="B295" t="str">
            <v>VAR_fout</v>
          </cell>
          <cell r="C295" t="str">
            <v>RHNM-SHWOD</v>
          </cell>
          <cell r="D295"/>
          <cell r="E295">
            <v>8.1139741761718398E-2</v>
          </cell>
          <cell r="F295">
            <v>3.7473845660653275E-4</v>
          </cell>
          <cell r="G295">
            <v>6.4981555245140722E-3</v>
          </cell>
          <cell r="H295">
            <v>1.0097592683908795E-2</v>
          </cell>
          <cell r="I295">
            <v>8.2464075829148992E-5</v>
          </cell>
          <cell r="J295"/>
          <cell r="K295"/>
        </row>
        <row r="296">
          <cell r="A296" t="str">
            <v>RHNM-SHWODBR</v>
          </cell>
          <cell r="B296" t="str">
            <v>VAR_fin</v>
          </cell>
          <cell r="C296" t="str">
            <v>RHNMWODBRC</v>
          </cell>
          <cell r="D296"/>
          <cell r="E296">
            <v>8.1139741761718398E-2</v>
          </cell>
          <cell r="F296">
            <v>3.7473845660653275E-4</v>
          </cell>
          <cell r="G296">
            <v>6.4981555245140722E-3</v>
          </cell>
          <cell r="H296">
            <v>1.0097592683908795E-2</v>
          </cell>
          <cell r="I296">
            <v>8.2464075829148992E-5</v>
          </cell>
          <cell r="J296"/>
          <cell r="K296"/>
        </row>
        <row r="297">
          <cell r="A297" t="str">
            <v>RHNM-SHWODBR</v>
          </cell>
          <cell r="B297" t="str">
            <v>VAR_fin</v>
          </cell>
          <cell r="C297" t="str">
            <v>RWOD</v>
          </cell>
          <cell r="D297"/>
          <cell r="E297">
            <v>0.11269408578016435</v>
          </cell>
          <cell r="F297">
            <v>4.8298723096986909E-4</v>
          </cell>
          <cell r="G297">
            <v>8.3752443547367196E-3</v>
          </cell>
          <cell r="H297">
            <v>1.2817374485302645E-2</v>
          </cell>
          <cell r="I297">
            <v>1.0467573555140101E-4</v>
          </cell>
          <cell r="J297"/>
          <cell r="K297"/>
        </row>
        <row r="298">
          <cell r="A298" t="str">
            <v>RHNM-SHWODBR</v>
          </cell>
          <cell r="B298" t="str">
            <v>VAR_ncap</v>
          </cell>
          <cell r="C298" t="str">
            <v>-</v>
          </cell>
          <cell r="D298"/>
          <cell r="E298">
            <v>6.3598237338475996E-3</v>
          </cell>
          <cell r="F298">
            <v>1.2668317568360701E-6</v>
          </cell>
          <cell r="G298"/>
          <cell r="H298"/>
          <cell r="I298"/>
          <cell r="J298"/>
          <cell r="K298"/>
        </row>
        <row r="299">
          <cell r="A299" t="str">
            <v>RHNM-SHWODBR</v>
          </cell>
          <cell r="B299" t="str">
            <v>VAR_cap</v>
          </cell>
          <cell r="C299" t="str">
            <v>-</v>
          </cell>
          <cell r="D299"/>
          <cell r="E299">
            <v>6.3598237338475996E-3</v>
          </cell>
          <cell r="F299">
            <v>4.5010441010380799E-3</v>
          </cell>
          <cell r="G299">
            <v>3.6031600161968596E-3</v>
          </cell>
          <cell r="H299">
            <v>8.7272431898255669E-4</v>
          </cell>
          <cell r="I299">
            <v>3.658296627717475E-4</v>
          </cell>
          <cell r="J299"/>
          <cell r="K299"/>
        </row>
        <row r="300">
          <cell r="A300" t="str">
            <v>RHNS-SHDEM</v>
          </cell>
          <cell r="B300" t="str">
            <v>VAR_fout</v>
          </cell>
          <cell r="C300" t="str">
            <v>RHNS-SHD</v>
          </cell>
          <cell r="D300"/>
          <cell r="E300">
            <v>0.40468474157116097</v>
          </cell>
          <cell r="F300">
            <v>1.3179858567458296</v>
          </cell>
          <cell r="G300">
            <v>2.5577590420419902</v>
          </cell>
          <cell r="H300">
            <v>3.8011779401002457</v>
          </cell>
          <cell r="I300">
            <v>4.4329566618979763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RHNS-SHLTHC-WOD</v>
          </cell>
          <cell r="D301"/>
          <cell r="E301">
            <v>4.4976650771495527E-5</v>
          </cell>
          <cell r="F301">
            <v>5.4426106182719129E-5</v>
          </cell>
          <cell r="G301">
            <v>1.750931803269389E-6</v>
          </cell>
          <cell r="H301">
            <v>7.8153940771356805E-7</v>
          </cell>
          <cell r="I301">
            <v>3.0521342958911976E-5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RHNS-SHLFO</v>
          </cell>
          <cell r="D302"/>
          <cell r="E302">
            <v>3.1818690723386202E-4</v>
          </cell>
          <cell r="F302">
            <v>3.4741705360228942E-2</v>
          </cell>
          <cell r="G302">
            <v>3.8554424939157325E-2</v>
          </cell>
          <cell r="H302">
            <v>2.7422088188704279E-2</v>
          </cell>
          <cell r="I302">
            <v>3.2149891347268821E-5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RHNS-SHNGAH</v>
          </cell>
          <cell r="D303"/>
          <cell r="E303">
            <v>4.8560937720500502E-5</v>
          </cell>
          <cell r="F303">
            <v>0.20661045362192379</v>
          </cell>
          <cell r="G303">
            <v>0.65771395056994564</v>
          </cell>
          <cell r="H303">
            <v>1.0491332602574388</v>
          </cell>
          <cell r="I303">
            <v>1.0887177518464934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RHNS-SHCON</v>
          </cell>
          <cell r="D304"/>
          <cell r="E304"/>
          <cell r="F304">
            <v>1.7226114970210825E-3</v>
          </cell>
          <cell r="G304">
            <v>1.7605763057822381E-3</v>
          </cell>
          <cell r="H304">
            <v>3.148704337913949E-3</v>
          </cell>
          <cell r="I304">
            <v>6.5093893899628085E-3</v>
          </cell>
          <cell r="J304"/>
          <cell r="K304"/>
        </row>
        <row r="305">
          <cell r="A305" t="str">
            <v>RHNS-SHDEM</v>
          </cell>
          <cell r="B305" t="str">
            <v>VAR_fin</v>
          </cell>
          <cell r="C305" t="str">
            <v>RHNS-SHWOD</v>
          </cell>
          <cell r="D305"/>
          <cell r="E305">
            <v>2.6385094115488832E-2</v>
          </cell>
          <cell r="F305">
            <v>1.8017129254387441E-3</v>
          </cell>
          <cell r="G305">
            <v>8.2867354760780814E-3</v>
          </cell>
          <cell r="H305">
            <v>1.0523216165323488E-2</v>
          </cell>
          <cell r="I305">
            <v>1.1229274725027074E-2</v>
          </cell>
          <cell r="J305"/>
        </row>
        <row r="306">
          <cell r="A306" t="str">
            <v>RHNS-SHDEM</v>
          </cell>
          <cell r="B306" t="str">
            <v>VAR_fin</v>
          </cell>
          <cell r="C306" t="str">
            <v>RHNS-SHNST</v>
          </cell>
          <cell r="D306"/>
          <cell r="E306">
            <v>2.9616805951588791E-5</v>
          </cell>
          <cell r="F306">
            <v>1.4458381193341625E-4</v>
          </cell>
          <cell r="G306">
            <v>1.4796767271843197E-4</v>
          </cell>
          <cell r="H306">
            <v>2.5307619793133308E-4</v>
          </cell>
          <cell r="I306">
            <v>6.9531807357597723E-5</v>
          </cell>
          <cell r="J306"/>
          <cell r="K306"/>
        </row>
        <row r="307">
          <cell r="A307" t="str">
            <v>RHNS-SHDEM</v>
          </cell>
          <cell r="B307" t="str">
            <v>VAR_fin</v>
          </cell>
          <cell r="C307" t="str">
            <v>RHNS-SHPLT</v>
          </cell>
          <cell r="D307"/>
          <cell r="E307">
            <v>4.7733894656779052E-5</v>
          </cell>
          <cell r="F307">
            <v>3.9543642081490293E-4</v>
          </cell>
          <cell r="G307">
            <v>2.7432384211331369E-4</v>
          </cell>
          <cell r="H307">
            <v>4.0783775684282119E-4</v>
          </cell>
          <cell r="I307">
            <v>1.6625967932046283E-5</v>
          </cell>
          <cell r="J307"/>
        </row>
        <row r="308">
          <cell r="A308" t="str">
            <v>RHNS-SHDEM</v>
          </cell>
          <cell r="B308" t="str">
            <v>VAR_fin</v>
          </cell>
          <cell r="C308" t="str">
            <v>RHNS-SHLTHD</v>
          </cell>
          <cell r="D308"/>
          <cell r="E308">
            <v>5.3821729507056833E-2</v>
          </cell>
          <cell r="F308">
            <v>7.8317898906573008E-2</v>
          </cell>
          <cell r="G308">
            <v>0.15305424545923965</v>
          </cell>
          <cell r="H308">
            <v>0.16618083365372771</v>
          </cell>
          <cell r="I308">
            <v>0.18782760158998182</v>
          </cell>
          <cell r="J308"/>
          <cell r="K308"/>
        </row>
        <row r="309">
          <cell r="A309" t="str">
            <v>RHNS-SHDEM</v>
          </cell>
          <cell r="B309" t="str">
            <v>VAR_fin</v>
          </cell>
          <cell r="C309" t="str">
            <v>RHNS-SHELCB</v>
          </cell>
          <cell r="D309"/>
          <cell r="E309">
            <v>6.8772193957371025E-2</v>
          </cell>
          <cell r="F309">
            <v>3.8004734268451373E-3</v>
          </cell>
          <cell r="G309">
            <v>6.6184187843523565E-3</v>
          </cell>
          <cell r="H309">
            <v>6.7214184426473119E-3</v>
          </cell>
          <cell r="I309">
            <v>4.2417137721524325E-3</v>
          </cell>
          <cell r="J309"/>
          <cell r="K309"/>
        </row>
        <row r="310">
          <cell r="A310" t="str">
            <v>RHNS-SHDEM</v>
          </cell>
          <cell r="B310" t="str">
            <v>VAR_fin</v>
          </cell>
          <cell r="C310" t="str">
            <v>RHNS-SHELCH</v>
          </cell>
          <cell r="D310"/>
          <cell r="E310">
            <v>0.13920527082987449</v>
          </cell>
          <cell r="F310">
            <v>0.97319324833642318</v>
          </cell>
          <cell r="G310">
            <v>1.6647523821506816</v>
          </cell>
          <cell r="H310">
            <v>2.5032545888094742</v>
          </cell>
          <cell r="I310">
            <v>3.1044490861034797</v>
          </cell>
          <cell r="J310"/>
          <cell r="K310"/>
        </row>
        <row r="311">
          <cell r="A311" t="str">
            <v>RHNS-SHDEM</v>
          </cell>
          <cell r="B311" t="str">
            <v>VAR_fin</v>
          </cell>
          <cell r="C311" t="str">
            <v>RHNS-SHSOL</v>
          </cell>
          <cell r="D311"/>
          <cell r="E311">
            <v>1.3275549100939723E-2</v>
          </cell>
          <cell r="F311">
            <v>6.191623462379524E-4</v>
          </cell>
          <cell r="G311">
            <v>1.7510348368424326E-3</v>
          </cell>
          <cell r="H311">
            <v>2.4662522458101977E-3</v>
          </cell>
          <cell r="I311">
            <v>3.9007587361509187E-3</v>
          </cell>
          <cell r="J311"/>
        </row>
        <row r="312">
          <cell r="A312" t="str">
            <v>RHNS-SHDEM</v>
          </cell>
          <cell r="B312" t="str">
            <v>VAR_fin</v>
          </cell>
          <cell r="C312" t="str">
            <v>RHNS-SHLTHC-NGA</v>
          </cell>
          <cell r="D312"/>
          <cell r="E312">
            <v>9.9628129574026443E-4</v>
          </cell>
          <cell r="F312">
            <v>4.7952398756207922E-5</v>
          </cell>
          <cell r="G312">
            <v>2.0385209900150862E-5</v>
          </cell>
          <cell r="H312"/>
          <cell r="I312">
            <v>4.0789964458625965E-5</v>
          </cell>
          <cell r="J312"/>
        </row>
        <row r="313">
          <cell r="A313" t="str">
            <v>RHNS-SHDEM</v>
          </cell>
          <cell r="B313" t="str">
            <v>VAR_fin</v>
          </cell>
          <cell r="C313" t="str">
            <v>RHNS-SHNGA</v>
          </cell>
          <cell r="D313"/>
          <cell r="E313">
            <v>0.10183055116990478</v>
          </cell>
          <cell r="F313">
            <v>1.6724284113124373E-2</v>
          </cell>
          <cell r="G313">
            <v>2.4982702280125817E-2</v>
          </cell>
          <cell r="H313">
            <v>3.1802384213574862E-2</v>
          </cell>
          <cell r="I313">
            <v>2.5991919351258934E-2</v>
          </cell>
          <cell r="J313"/>
          <cell r="K313"/>
        </row>
        <row r="314">
          <cell r="A314" t="str">
            <v>RES-ELCSPEC</v>
          </cell>
          <cell r="B314" t="str">
            <v>VAR_fout</v>
          </cell>
          <cell r="C314" t="str">
            <v>RHSA-ELS</v>
          </cell>
          <cell r="D314">
            <v>44.576908727013368</v>
          </cell>
          <cell r="E314">
            <v>44.861181093551671</v>
          </cell>
          <cell r="F314">
            <v>44.557389626891968</v>
          </cell>
          <cell r="G314">
            <v>35.138586795846997</v>
          </cell>
          <cell r="H314">
            <v>23.344869636844951</v>
          </cell>
          <cell r="I314">
            <v>11.045718823141165</v>
          </cell>
          <cell r="J314"/>
        </row>
        <row r="315">
          <cell r="A315" t="str">
            <v>RES-ELCSPEC</v>
          </cell>
          <cell r="B315" t="str">
            <v>VAR_fin</v>
          </cell>
          <cell r="C315" t="str">
            <v>RHSA_ELC</v>
          </cell>
          <cell r="D315">
            <v>44.576908727013368</v>
          </cell>
          <cell r="E315">
            <v>44.861181093551671</v>
          </cell>
          <cell r="F315">
            <v>44.557389626891968</v>
          </cell>
          <cell r="G315">
            <v>35.138586795846997</v>
          </cell>
          <cell r="H315">
            <v>23.344869636844951</v>
          </cell>
          <cell r="I315">
            <v>11.045718823141165</v>
          </cell>
          <cell r="J315"/>
        </row>
        <row r="316">
          <cell r="A316" t="str">
            <v>RES-ELCSPEC</v>
          </cell>
          <cell r="B316" t="str">
            <v>VAR_ncap</v>
          </cell>
          <cell r="C316" t="str">
            <v>-</v>
          </cell>
          <cell r="D316">
            <v>0.19321218955543801</v>
          </cell>
          <cell r="E316">
            <v>3.8297427148066402E-6</v>
          </cell>
          <cell r="F316">
            <v>3.4114505412571202E-6</v>
          </cell>
          <cell r="G316">
            <v>2.7544741525294501E-6</v>
          </cell>
          <cell r="H316">
            <v>2.7418627919022499E-6</v>
          </cell>
          <cell r="I316">
            <v>1.25313754150293</v>
          </cell>
          <cell r="J316"/>
          <cell r="K316"/>
        </row>
        <row r="317">
          <cell r="A317" t="str">
            <v>RES-ELCSPEC</v>
          </cell>
          <cell r="B317" t="str">
            <v>VAR_cap</v>
          </cell>
          <cell r="C317" t="str">
            <v>-</v>
          </cell>
          <cell r="D317">
            <v>4.7117488736859077</v>
          </cell>
          <cell r="E317">
            <v>4.7418028173463895</v>
          </cell>
          <cell r="F317">
            <v>4.7096955866727432</v>
          </cell>
          <cell r="G317">
            <v>3.7141323457218474</v>
          </cell>
          <cell r="H317">
            <v>2.4675627947829235</v>
          </cell>
          <cell r="I317">
            <v>1.4802822633428732</v>
          </cell>
          <cell r="J317"/>
          <cell r="K317"/>
          <cell r="L317"/>
          <cell r="M317"/>
        </row>
        <row r="318">
          <cell r="A318" t="str">
            <v>SCOM-SHCONBR1</v>
          </cell>
          <cell r="B318" t="str">
            <v>VAR_fout</v>
          </cell>
          <cell r="C318" t="str">
            <v>SCOM-SHCON</v>
          </cell>
          <cell r="D318"/>
          <cell r="E318">
            <v>2.6177986034421576</v>
          </cell>
          <cell r="F318">
            <v>0.72338620541607768</v>
          </cell>
          <cell r="G318">
            <v>1.5538925711136737</v>
          </cell>
          <cell r="H318">
            <v>2.6177843674789507</v>
          </cell>
          <cell r="I318">
            <v>2.6177921028942235</v>
          </cell>
          <cell r="J318"/>
          <cell r="K318"/>
        </row>
        <row r="319">
          <cell r="A319" t="str">
            <v>SCOM-SHCONBR1</v>
          </cell>
          <cell r="B319" t="str">
            <v>VAR_fin</v>
          </cell>
          <cell r="C319" t="str">
            <v>CON</v>
          </cell>
          <cell r="D319"/>
          <cell r="E319">
            <v>2.6177986034421576</v>
          </cell>
          <cell r="F319">
            <v>0.72338620541607768</v>
          </cell>
          <cell r="G319">
            <v>1.5538925711136737</v>
          </cell>
          <cell r="H319">
            <v>2.6177843674789507</v>
          </cell>
          <cell r="I319">
            <v>2.6177921028942235</v>
          </cell>
          <cell r="J319"/>
        </row>
        <row r="320">
          <cell r="A320" t="str">
            <v>SCOM-SHCONBR1</v>
          </cell>
          <cell r="B320" t="str">
            <v>VAR_ncap</v>
          </cell>
          <cell r="C320" t="str">
            <v>-</v>
          </cell>
          <cell r="E320">
            <v>0.20229404011869301</v>
          </cell>
          <cell r="F320">
            <v>2.4621210365891798E-7</v>
          </cell>
          <cell r="G320">
            <v>2.1544870268973299E-7</v>
          </cell>
          <cell r="H320">
            <v>9.1551927715528402E-3</v>
          </cell>
          <cell r="I320">
            <v>9.9164711416726198E-2</v>
          </cell>
          <cell r="J320"/>
        </row>
        <row r="321">
          <cell r="A321" t="str">
            <v>SCOM-SHCONBR1</v>
          </cell>
          <cell r="B321" t="str">
            <v>VAR_cap</v>
          </cell>
          <cell r="C321" t="str">
            <v>-</v>
          </cell>
          <cell r="D321"/>
          <cell r="E321">
            <v>0.20229404011869301</v>
          </cell>
          <cell r="F321">
            <v>0.20229404493225975</v>
          </cell>
          <cell r="G321">
            <v>0.20229394597937456</v>
          </cell>
          <cell r="H321">
            <v>0.21145058681440621</v>
          </cell>
          <cell r="I321">
            <v>0.22526781493840464</v>
          </cell>
          <cell r="J321"/>
          <cell r="K321"/>
        </row>
        <row r="322">
          <cell r="A322" t="str">
            <v>RHSA-WHSTG-SOL</v>
          </cell>
          <cell r="B322" t="str">
            <v>VAR_fout</v>
          </cell>
          <cell r="C322" t="str">
            <v>RHSA-WHASOL</v>
          </cell>
          <cell r="D322">
            <v>1.5503263680279712E-5</v>
          </cell>
          <cell r="E322">
            <v>3.6473505018740295E-6</v>
          </cell>
          <cell r="F322">
            <v>1.1074437899417882E-2</v>
          </cell>
          <cell r="G322">
            <v>0.20897914909056634</v>
          </cell>
          <cell r="H322">
            <v>0.56026162638579302</v>
          </cell>
          <cell r="I322">
            <v>0.68126214433603194</v>
          </cell>
          <cell r="J322"/>
          <cell r="K322"/>
        </row>
        <row r="323">
          <cell r="A323" t="str">
            <v>RHSA-WHSTG-SOL</v>
          </cell>
          <cell r="B323" t="str">
            <v>VAR_fin</v>
          </cell>
          <cell r="C323" t="str">
            <v>RHSA-WHASOL</v>
          </cell>
          <cell r="D323">
            <v>2.9573512253258606E-7</v>
          </cell>
          <cell r="E323">
            <v>1.043207705737348E-5</v>
          </cell>
          <cell r="F323">
            <v>1.1080494985374128E-2</v>
          </cell>
          <cell r="G323">
            <v>0.20898716686655405</v>
          </cell>
          <cell r="H323">
            <v>0.56028613182495857</v>
          </cell>
          <cell r="I323">
            <v>0.68129015364255785</v>
          </cell>
          <cell r="J323"/>
        </row>
        <row r="324">
          <cell r="A324" t="str">
            <v>RHSA-WHSTG-SOL</v>
          </cell>
          <cell r="B324" t="str">
            <v>VAR_ncap</v>
          </cell>
          <cell r="C324" t="str">
            <v>-</v>
          </cell>
          <cell r="D324">
            <v>8.4855645568929303E-3</v>
          </cell>
          <cell r="E324">
            <v>7.0006027348073901E-2</v>
          </cell>
          <cell r="F324">
            <v>6.5800738290319905E-7</v>
          </cell>
          <cell r="G324">
            <v>6.42800509879093E-3</v>
          </cell>
          <cell r="H324">
            <v>6.4951178233391499E-2</v>
          </cell>
          <cell r="I324">
            <v>9.5391313619216198E-2</v>
          </cell>
          <cell r="J324"/>
        </row>
        <row r="325">
          <cell r="A325" t="str">
            <v>RHSA-WHSTG-SOL</v>
          </cell>
          <cell r="B325" t="str">
            <v>VAR_cap</v>
          </cell>
          <cell r="C325" t="str">
            <v>-</v>
          </cell>
          <cell r="D325">
            <v>8.4866271098565267E-3</v>
          </cell>
          <cell r="E325">
            <v>7.8492654457930397E-2</v>
          </cell>
          <cell r="F325">
            <v>7.8493312465313297E-2</v>
          </cell>
          <cell r="G325">
            <v>8.4921317564104204E-2</v>
          </cell>
          <cell r="H325">
            <v>0.13122995328436299</v>
          </cell>
          <cell r="I325">
            <v>0.16870703130506001</v>
          </cell>
          <cell r="J325"/>
        </row>
        <row r="326">
          <cell r="A326" t="str">
            <v>SCOM-SHCONBR2</v>
          </cell>
          <cell r="B326" t="str">
            <v>VAR_fout</v>
          </cell>
          <cell r="C326" t="str">
            <v>SCOM-SHCON</v>
          </cell>
          <cell r="D326"/>
          <cell r="E326">
            <v>4.0772727628332088</v>
          </cell>
          <cell r="F326">
            <v>1.0621678742195875</v>
          </cell>
          <cell r="G326">
            <v>2.436563427971445</v>
          </cell>
          <cell r="H326">
            <v>4.0772591815000911</v>
          </cell>
          <cell r="I326">
            <v>4.0772674102567388</v>
          </cell>
          <cell r="J326"/>
          <cell r="K326"/>
        </row>
        <row r="327">
          <cell r="A327" t="str">
            <v>SCOM-SHCONBR2</v>
          </cell>
          <cell r="B327" t="str">
            <v>VAR_fin</v>
          </cell>
          <cell r="C327" t="str">
            <v>CON</v>
          </cell>
          <cell r="D327"/>
          <cell r="E327">
            <v>4.0772727628332088</v>
          </cell>
          <cell r="F327">
            <v>1.0621678742195875</v>
          </cell>
          <cell r="G327">
            <v>2.436563427971445</v>
          </cell>
          <cell r="H327">
            <v>4.0772591815000911</v>
          </cell>
          <cell r="I327">
            <v>4.0772674102567388</v>
          </cell>
          <cell r="J327"/>
          <cell r="K327"/>
        </row>
        <row r="328">
          <cell r="A328" t="str">
            <v>SCOM-SHCONBR2</v>
          </cell>
          <cell r="B328" t="str">
            <v>VAR_ncap</v>
          </cell>
          <cell r="C328" t="str">
            <v>-</v>
          </cell>
          <cell r="D328"/>
          <cell r="E328">
            <v>0.31506750245423498</v>
          </cell>
          <cell r="F328">
            <v>2.3217961326453001E-7</v>
          </cell>
          <cell r="G328">
            <v>2.0318395467708499E-7</v>
          </cell>
          <cell r="H328">
            <v>1.12359657041806E-2</v>
          </cell>
          <cell r="I328">
            <v>0.144868436514652</v>
          </cell>
          <cell r="J328"/>
        </row>
        <row r="329">
          <cell r="A329" t="str">
            <v>SCOM-SHCONBR2</v>
          </cell>
          <cell r="B329" t="str">
            <v>VAR_cap</v>
          </cell>
          <cell r="C329" t="str">
            <v>-</v>
          </cell>
          <cell r="D329"/>
          <cell r="E329">
            <v>0.31506750245423498</v>
          </cell>
          <cell r="F329">
            <v>0.31506749587707217</v>
          </cell>
          <cell r="G329">
            <v>0.31506739204128603</v>
          </cell>
          <cell r="H329">
            <v>0.32630470926008193</v>
          </cell>
          <cell r="I329">
            <v>0.33824665845519108</v>
          </cell>
          <cell r="J329"/>
          <cell r="K329"/>
        </row>
        <row r="330">
          <cell r="A330" t="str">
            <v>SCOM-SHCONBR3</v>
          </cell>
          <cell r="B330" t="str">
            <v>VAR_fout</v>
          </cell>
          <cell r="C330" t="str">
            <v>SCOM-SHCON</v>
          </cell>
          <cell r="D330"/>
          <cell r="E330">
            <v>2.416078290389108</v>
          </cell>
          <cell r="F330">
            <v>0.64276081011132236</v>
          </cell>
          <cell r="G330">
            <v>1.4030957030953612</v>
          </cell>
          <cell r="H330">
            <v>3.2761437713838641</v>
          </cell>
          <cell r="I330">
            <v>3.2762289393650588</v>
          </cell>
          <cell r="J330"/>
          <cell r="K330"/>
        </row>
        <row r="331">
          <cell r="A331" t="str">
            <v>SCOM-SHCONBR3</v>
          </cell>
          <cell r="B331" t="str">
            <v>VAR_fin</v>
          </cell>
          <cell r="C331" t="str">
            <v>CON</v>
          </cell>
          <cell r="D331"/>
          <cell r="E331">
            <v>2.416078290389108</v>
          </cell>
          <cell r="F331">
            <v>0.64276081011132236</v>
          </cell>
          <cell r="G331">
            <v>1.4030957030953612</v>
          </cell>
          <cell r="H331">
            <v>3.2761437713838641</v>
          </cell>
          <cell r="I331">
            <v>3.2762289393650588</v>
          </cell>
          <cell r="J331"/>
        </row>
        <row r="332">
          <cell r="A332" t="str">
            <v>SCOM-SHCONBR3</v>
          </cell>
          <cell r="B332" t="str">
            <v>VAR_ncap</v>
          </cell>
          <cell r="C332" t="str">
            <v>-</v>
          </cell>
          <cell r="D332"/>
          <cell r="E332">
            <v>0.18670136610187901</v>
          </cell>
          <cell r="F332">
            <v>1.5489633075302901E-7</v>
          </cell>
          <cell r="G332">
            <v>1.3215828744816499E-7</v>
          </cell>
          <cell r="H332">
            <v>6.6542251991268203E-2</v>
          </cell>
          <cell r="I332">
            <v>8.8057627571476602E-2</v>
          </cell>
          <cell r="J332"/>
          <cell r="K332"/>
        </row>
        <row r="333">
          <cell r="A333" t="str">
            <v>SCOM-SHCONBR3</v>
          </cell>
          <cell r="B333" t="str">
            <v>VAR_cap</v>
          </cell>
          <cell r="C333" t="str">
            <v>-</v>
          </cell>
          <cell r="D333"/>
          <cell r="E333">
            <v>0.18670136610187901</v>
          </cell>
          <cell r="F333">
            <v>0.18670132298205094</v>
          </cell>
          <cell r="G333">
            <v>0.18670121550802918</v>
          </cell>
          <cell r="H333">
            <v>0.25324430232988721</v>
          </cell>
          <cell r="I333">
            <v>0.26253297205659432</v>
          </cell>
          <cell r="J333"/>
          <cell r="K333"/>
        </row>
        <row r="334">
          <cell r="A334" t="str">
            <v>SCOM-SHCONBR4</v>
          </cell>
          <cell r="B334" t="str">
            <v>VAR_fout</v>
          </cell>
          <cell r="C334" t="str">
            <v>SCOM-SHCON</v>
          </cell>
          <cell r="D334"/>
          <cell r="E334">
            <v>2.2260380925739685E-3</v>
          </cell>
          <cell r="F334">
            <v>1.0892449856406499E-3</v>
          </cell>
          <cell r="G334">
            <v>1.1540994258201157E-3</v>
          </cell>
          <cell r="H334">
            <v>0.18116858959886506</v>
          </cell>
          <cell r="I334">
            <v>3.4482367313391649</v>
          </cell>
          <cell r="J334"/>
          <cell r="K334"/>
        </row>
        <row r="335">
          <cell r="A335" t="str">
            <v>SCOM-SHCONBR4</v>
          </cell>
          <cell r="B335" t="str">
            <v>VAR_fin</v>
          </cell>
          <cell r="C335" t="str">
            <v>CON</v>
          </cell>
          <cell r="D335"/>
          <cell r="E335">
            <v>2.2260380925739685E-3</v>
          </cell>
          <cell r="F335">
            <v>1.0892449856406499E-3</v>
          </cell>
          <cell r="G335">
            <v>1.1540994258201157E-3</v>
          </cell>
          <cell r="H335">
            <v>0.18116858959886506</v>
          </cell>
          <cell r="I335">
            <v>3.4482367313391649</v>
          </cell>
          <cell r="J335"/>
          <cell r="K335"/>
        </row>
        <row r="336">
          <cell r="A336" t="str">
            <v>SCOM-SHCONBR4</v>
          </cell>
          <cell r="B336" t="str">
            <v>VAR_ncap</v>
          </cell>
          <cell r="C336" t="str">
            <v>-</v>
          </cell>
          <cell r="D336"/>
          <cell r="E336">
            <v>1.8081165171308499E-4</v>
          </cell>
          <cell r="F336">
            <v>1.37243107617434E-7</v>
          </cell>
          <cell r="G336">
            <v>1.17652174292869E-7</v>
          </cell>
          <cell r="H336">
            <v>1.385346587461E-2</v>
          </cell>
          <cell r="I336">
            <v>0.25250816792382702</v>
          </cell>
          <cell r="J336"/>
          <cell r="K336"/>
        </row>
        <row r="337">
          <cell r="A337" t="str">
            <v>SCOM-SHCONBR4</v>
          </cell>
          <cell r="B337" t="str">
            <v>VAR_cap</v>
          </cell>
          <cell r="C337" t="str">
            <v>-</v>
          </cell>
          <cell r="D337"/>
          <cell r="E337">
            <v>1.8081165171308499E-4</v>
          </cell>
          <cell r="F337">
            <v>1.8082091218980746E-4</v>
          </cell>
          <cell r="G337">
            <v>1.8075098494921304E-4</v>
          </cell>
          <cell r="H337">
            <v>1.4035181108830268E-2</v>
          </cell>
          <cell r="I337">
            <v>0.26646719737233049</v>
          </cell>
          <cell r="J337"/>
          <cell r="K337"/>
        </row>
        <row r="338">
          <cell r="A338" t="str">
            <v>RHEM-SHNGABR</v>
          </cell>
          <cell r="B338" t="str">
            <v>VAR_fout</v>
          </cell>
          <cell r="C338" t="str">
            <v>CO2_R</v>
          </cell>
          <cell r="D338">
            <v>1127.96340108448</v>
          </cell>
          <cell r="E338">
            <v>1144.47743322731</v>
          </cell>
          <cell r="F338">
            <v>1234.1981182699301</v>
          </cell>
          <cell r="G338">
            <v>803.606771960949</v>
          </cell>
          <cell r="H338">
            <v>113.76014501017499</v>
          </cell>
          <cell r="I338">
            <v>40.110630067192901</v>
          </cell>
          <cell r="J338"/>
          <cell r="K338"/>
        </row>
        <row r="339">
          <cell r="A339" t="str">
            <v>RHEM-SHNGABR</v>
          </cell>
          <cell r="B339" t="str">
            <v>VAR_fout</v>
          </cell>
          <cell r="C339" t="str">
            <v>RHEM-SHNGA</v>
          </cell>
          <cell r="D339">
            <v>18.999383528905341</v>
          </cell>
          <cell r="E339">
            <v>19.277545417835878</v>
          </cell>
          <cell r="F339">
            <v>20.497171424637138</v>
          </cell>
          <cell r="G339">
            <v>13.350509470684813</v>
          </cell>
          <cell r="H339">
            <v>1.8899242096215492</v>
          </cell>
          <cell r="I339">
            <v>0.66636738921510053</v>
          </cell>
          <cell r="J339"/>
        </row>
        <row r="340">
          <cell r="A340" t="str">
            <v>RHEM-SHNGABR</v>
          </cell>
          <cell r="B340" t="str">
            <v>VAR_fin</v>
          </cell>
          <cell r="C340" t="str">
            <v>RNGA</v>
          </cell>
          <cell r="D340">
            <v>19.999351083058237</v>
          </cell>
          <cell r="E340">
            <v>20.29215307140618</v>
          </cell>
          <cell r="F340">
            <v>21.882945359395858</v>
          </cell>
          <cell r="G340">
            <v>14.248347020584209</v>
          </cell>
          <cell r="H340">
            <v>2.0170238476981437</v>
          </cell>
          <cell r="I340">
            <v>0.7111813841700857</v>
          </cell>
          <cell r="J340"/>
          <cell r="K340"/>
        </row>
        <row r="341">
          <cell r="A341" t="str">
            <v>RHEM-SHNGABR</v>
          </cell>
          <cell r="B341" t="str">
            <v>VAR_ncap</v>
          </cell>
          <cell r="C341" t="str">
            <v>-</v>
          </cell>
          <cell r="D341"/>
          <cell r="E341">
            <v>2.1700084748677202E-2</v>
          </cell>
          <cell r="F341">
            <v>7.8886198552286402E-2</v>
          </cell>
          <cell r="G341">
            <v>9.0768303893345804E-7</v>
          </cell>
          <cell r="H341">
            <v>4.7496242668064403E-2</v>
          </cell>
          <cell r="I341">
            <v>3.2858733617915099E-7</v>
          </cell>
          <cell r="J341"/>
          <cell r="K341"/>
        </row>
        <row r="342">
          <cell r="A342" t="str">
            <v>RHEM-SHNGABR</v>
          </cell>
          <cell r="B342" t="str">
            <v>VAR_cap</v>
          </cell>
          <cell r="C342" t="str">
            <v>-</v>
          </cell>
          <cell r="D342">
            <v>1.34683498965227</v>
          </cell>
          <cell r="E342">
            <v>1.3685348532382411</v>
          </cell>
          <cell r="F342">
            <v>1.447420654809161</v>
          </cell>
          <cell r="G342">
            <v>1.4473533568349108</v>
          </cell>
          <cell r="H342">
            <v>0.13350586920005159</v>
          </cell>
          <cell r="I342">
            <v>6.4934311554013371E-2</v>
          </cell>
          <cell r="J342"/>
        </row>
        <row r="343">
          <cell r="A343" t="str">
            <v>RHNS-SHCONBR1</v>
          </cell>
          <cell r="B343" t="str">
            <v>VAR_ncap</v>
          </cell>
          <cell r="C343" t="str">
            <v>-</v>
          </cell>
          <cell r="D343"/>
          <cell r="F343">
            <v>375</v>
          </cell>
          <cell r="G343">
            <v>5.3546708989193998</v>
          </cell>
          <cell r="H343"/>
          <cell r="I343"/>
          <cell r="J343"/>
        </row>
        <row r="344">
          <cell r="A344" t="str">
            <v>RHNS-SHCONBR1</v>
          </cell>
          <cell r="B344" t="str">
            <v>VAR_cap</v>
          </cell>
          <cell r="C344" t="str">
            <v>-</v>
          </cell>
          <cell r="D344"/>
          <cell r="F344">
            <v>375</v>
          </cell>
          <cell r="G344">
            <v>13.250580098571959</v>
          </cell>
          <cell r="H344">
            <v>7.1399867705630413</v>
          </cell>
          <cell r="I344">
            <v>3.2078828560950114</v>
          </cell>
          <cell r="J344"/>
        </row>
        <row r="345">
          <cell r="A345" t="str">
            <v>SCOM-SHCONBR5</v>
          </cell>
          <cell r="B345" t="str">
            <v>VAR_fout</v>
          </cell>
          <cell r="C345" t="str">
            <v>SCOM-SHCON</v>
          </cell>
          <cell r="D345"/>
          <cell r="E345">
            <v>1.7982890627644829E-3</v>
          </cell>
          <cell r="F345">
            <v>8.9254891213084379E-4</v>
          </cell>
          <cell r="G345">
            <v>9.3753521369048347E-4</v>
          </cell>
          <cell r="H345">
            <v>1.8013373252513236E-3</v>
          </cell>
          <cell r="I345">
            <v>1.7336089237119701</v>
          </cell>
          <cell r="J345"/>
          <cell r="K345"/>
        </row>
        <row r="346">
          <cell r="A346" t="str">
            <v>SCOM-SHCONBR5</v>
          </cell>
          <cell r="B346" t="str">
            <v>VAR_fin</v>
          </cell>
          <cell r="C346" t="str">
            <v>CON</v>
          </cell>
          <cell r="D346"/>
          <cell r="E346">
            <v>1.7982890627644829E-3</v>
          </cell>
          <cell r="F346">
            <v>8.9254891213084379E-4</v>
          </cell>
          <cell r="G346">
            <v>9.3753521369048347E-4</v>
          </cell>
          <cell r="H346">
            <v>1.8013373252513236E-3</v>
          </cell>
          <cell r="I346">
            <v>1.7336089237119701</v>
          </cell>
          <cell r="J346"/>
          <cell r="K346"/>
        </row>
        <row r="347">
          <cell r="A347" t="str">
            <v>SCOM-SHCONBR5</v>
          </cell>
          <cell r="B347" t="str">
            <v>VAR_ncap</v>
          </cell>
          <cell r="C347" t="str">
            <v>-</v>
          </cell>
          <cell r="D347"/>
          <cell r="E347">
            <v>1.4745994604645999E-4</v>
          </cell>
          <cell r="F347">
            <v>1.32835925316376E-7</v>
          </cell>
          <cell r="G347">
            <v>1.1344680988331399E-7</v>
          </cell>
          <cell r="H347">
            <v>1.4516880223962999E-5</v>
          </cell>
          <cell r="I347">
            <v>0.13387561657257399</v>
          </cell>
          <cell r="J347"/>
          <cell r="K347"/>
        </row>
        <row r="348">
          <cell r="A348" t="str">
            <v>SCOM-SHCONBR5</v>
          </cell>
          <cell r="B348" t="str">
            <v>VAR_cap</v>
          </cell>
          <cell r="C348" t="str">
            <v>-</v>
          </cell>
          <cell r="D348"/>
          <cell r="E348">
            <v>1.4745994604645999E-4</v>
          </cell>
          <cell r="F348">
            <v>1.474755749514958E-4</v>
          </cell>
          <cell r="G348">
            <v>1.4741471508496578E-4</v>
          </cell>
          <cell r="H348">
            <v>1.6285652349425504E-4</v>
          </cell>
          <cell r="I348">
            <v>0.13397636986553407</v>
          </cell>
          <cell r="J348"/>
          <cell r="K348"/>
        </row>
        <row r="349">
          <cell r="A349" t="str">
            <v>RHNS-SHCONBR2</v>
          </cell>
          <cell r="B349" t="str">
            <v>VAR_ncap</v>
          </cell>
          <cell r="C349" t="str">
            <v>-</v>
          </cell>
          <cell r="D349"/>
          <cell r="F349">
            <v>375</v>
          </cell>
          <cell r="G349">
            <v>5.3546708989194798</v>
          </cell>
          <cell r="H349"/>
          <cell r="I349"/>
          <cell r="J349"/>
          <cell r="K349"/>
        </row>
        <row r="350">
          <cell r="A350" t="str">
            <v>RHNS-SHCONBR2</v>
          </cell>
          <cell r="B350" t="str">
            <v>VAR_cap</v>
          </cell>
          <cell r="C350" t="str">
            <v>-</v>
          </cell>
          <cell r="D350"/>
          <cell r="F350">
            <v>375</v>
          </cell>
          <cell r="G350">
            <v>13.250580098570993</v>
          </cell>
          <cell r="H350">
            <v>7.1399867705630413</v>
          </cell>
          <cell r="I350">
            <v>3.2078828560939883</v>
          </cell>
          <cell r="J350"/>
          <cell r="K350"/>
        </row>
        <row r="351">
          <cell r="A351" t="str">
            <v>RHES-SHSTG-ELCHP</v>
          </cell>
          <cell r="B351" t="str">
            <v>VAR_fout</v>
          </cell>
          <cell r="C351" t="str">
            <v>RHES-SHAELCH</v>
          </cell>
          <cell r="D351">
            <v>1.4047789899122776E-6</v>
          </cell>
          <cell r="E351">
            <v>1.9592274724874056E-6</v>
          </cell>
          <cell r="F351">
            <v>0.3477558252347594</v>
          </cell>
          <cell r="G351">
            <v>0.97254583207392176</v>
          </cell>
          <cell r="H351">
            <v>0.95503649317891781</v>
          </cell>
          <cell r="I351">
            <v>0.96572304377042684</v>
          </cell>
          <cell r="J351"/>
          <cell r="K351"/>
        </row>
        <row r="352">
          <cell r="A352" t="str">
            <v>RHES-SHSTG-ELCHP</v>
          </cell>
          <cell r="B352" t="str">
            <v>VAR_fin</v>
          </cell>
          <cell r="C352" t="str">
            <v>RHES-SHAELCH</v>
          </cell>
          <cell r="D352">
            <v>6.5844687761944318E-6</v>
          </cell>
          <cell r="E352">
            <v>3.4889425754132548E-6</v>
          </cell>
          <cell r="F352">
            <v>0.34776216364960721</v>
          </cell>
          <cell r="G352">
            <v>0.97255834088316895</v>
          </cell>
          <cell r="H352">
            <v>0.95505617777022733</v>
          </cell>
          <cell r="I352">
            <v>0.96573672136988897</v>
          </cell>
          <cell r="J352"/>
          <cell r="K352"/>
        </row>
        <row r="353">
          <cell r="A353" t="str">
            <v>RHES-SHSTG-ELCHP</v>
          </cell>
          <cell r="B353" t="str">
            <v>VAR_ncap</v>
          </cell>
          <cell r="C353" t="str">
            <v>-</v>
          </cell>
          <cell r="D353">
            <v>6.6729309623817798E-3</v>
          </cell>
          <cell r="E353">
            <v>0.13985852547991201</v>
          </cell>
          <cell r="F353">
            <v>0.14154749846649001</v>
          </cell>
          <cell r="G353">
            <v>0.1127220981123</v>
          </cell>
          <cell r="H353">
            <v>0.26211984415805301</v>
          </cell>
          <cell r="I353">
            <v>0.192221574866074</v>
          </cell>
          <cell r="J353"/>
          <cell r="K353"/>
        </row>
        <row r="354">
          <cell r="A354" t="str">
            <v>RHES-SHSTG-ELCHP</v>
          </cell>
          <cell r="B354" t="str">
            <v>VAR_cap</v>
          </cell>
          <cell r="C354" t="str">
            <v>-</v>
          </cell>
          <cell r="D354">
            <v>6.6729309623817798E-3</v>
          </cell>
          <cell r="E354">
            <v>0.1465000683173471</v>
          </cell>
          <cell r="F354">
            <v>0.28802818447311035</v>
          </cell>
          <cell r="G354">
            <v>0.40072504504060208</v>
          </cell>
          <cell r="H354">
            <v>0.47330034421559281</v>
          </cell>
          <cell r="I354">
            <v>0.42859300528395283</v>
          </cell>
          <cell r="J354"/>
          <cell r="K354"/>
        </row>
        <row r="355">
          <cell r="A355" t="str">
            <v>SCOM-SHCONBR6</v>
          </cell>
          <cell r="B355" t="str">
            <v>VAR_fout</v>
          </cell>
          <cell r="C355" t="str">
            <v>SCOM-SHCON</v>
          </cell>
          <cell r="D355"/>
          <cell r="E355">
            <v>1.0562916050951968E-3</v>
          </cell>
          <cell r="F355">
            <v>5.4292377608732717E-4</v>
          </cell>
          <cell r="G355">
            <v>5.6241198065510244E-4</v>
          </cell>
          <cell r="H355">
            <v>9.6362152849976848E-4</v>
          </cell>
          <cell r="I355">
            <v>1.0170839039378063E-3</v>
          </cell>
          <cell r="J355"/>
          <cell r="K355"/>
        </row>
        <row r="356">
          <cell r="A356" t="str">
            <v>SCOM-SHCONBR6</v>
          </cell>
          <cell r="B356" t="str">
            <v>VAR_fin</v>
          </cell>
          <cell r="C356" t="str">
            <v>CON</v>
          </cell>
          <cell r="D356"/>
          <cell r="E356">
            <v>1.0562916050951968E-3</v>
          </cell>
          <cell r="F356">
            <v>5.4292377608732717E-4</v>
          </cell>
          <cell r="G356">
            <v>5.6241198065510244E-4</v>
          </cell>
          <cell r="H356">
            <v>9.6362152849976848E-4</v>
          </cell>
          <cell r="I356">
            <v>1.0170839039378063E-3</v>
          </cell>
          <cell r="J356"/>
          <cell r="K356"/>
        </row>
        <row r="357">
          <cell r="A357" t="str">
            <v>SCOM-SHCONBR6</v>
          </cell>
          <cell r="B357" t="str">
            <v>VAR_ncap</v>
          </cell>
          <cell r="C357" t="str">
            <v>-</v>
          </cell>
          <cell r="D357"/>
          <cell r="E357">
            <v>8.9247754669574304E-5</v>
          </cell>
          <cell r="F357">
            <v>1.21158206544428E-7</v>
          </cell>
          <cell r="G357">
            <v>1.0315171663446199E-7</v>
          </cell>
          <cell r="H357">
            <v>3.3443722354137598E-6</v>
          </cell>
          <cell r="I357">
            <v>3.4022132366546903E-5</v>
          </cell>
          <cell r="J357"/>
          <cell r="K357"/>
        </row>
        <row r="358">
          <cell r="A358" t="str">
            <v>SCOM-SHCONBR6</v>
          </cell>
          <cell r="B358" t="str">
            <v>VAR_cap</v>
          </cell>
          <cell r="C358" t="str">
            <v>-</v>
          </cell>
          <cell r="E358">
            <v>8.9247754669574304E-5</v>
          </cell>
          <cell r="F358">
            <v>8.9277280852188544E-5</v>
          </cell>
          <cell r="G358">
            <v>8.9238963831728189E-5</v>
          </cell>
          <cell r="H358">
            <v>9.3616863062704792E-5</v>
          </cell>
          <cell r="I358">
            <v>9.0078508382052182E-5</v>
          </cell>
          <cell r="J358"/>
          <cell r="K358"/>
        </row>
        <row r="359">
          <cell r="A359" t="str">
            <v>RHNM-SHDEM</v>
          </cell>
          <cell r="B359" t="str">
            <v>VAR_fout</v>
          </cell>
          <cell r="C359" t="str">
            <v>RHNM-SHD</v>
          </cell>
          <cell r="D359"/>
          <cell r="E359">
            <v>1.20715021831532</v>
          </cell>
          <cell r="F359">
            <v>1.3922598740601504</v>
          </cell>
          <cell r="G359">
            <v>2.6106624774083995</v>
          </cell>
          <cell r="H359">
            <v>3.8852361772644257</v>
          </cell>
          <cell r="I359">
            <v>4.3937752216324606</v>
          </cell>
          <cell r="J359"/>
          <cell r="K359"/>
        </row>
        <row r="360">
          <cell r="A360" t="str">
            <v>RHNM-SHDEM</v>
          </cell>
          <cell r="B360" t="str">
            <v>VAR_fin</v>
          </cell>
          <cell r="C360" t="str">
            <v>RHNM-SHLFO</v>
          </cell>
          <cell r="D360"/>
          <cell r="E360">
            <v>3.3283962317143381E-2</v>
          </cell>
          <cell r="F360">
            <v>9.7856944779132829E-2</v>
          </cell>
          <cell r="G360">
            <v>0.10310407700115744</v>
          </cell>
          <cell r="H360">
            <v>4.2794051850704402E-2</v>
          </cell>
          <cell r="I360">
            <v>2.1910175400019762E-4</v>
          </cell>
          <cell r="J360"/>
          <cell r="K360"/>
        </row>
        <row r="361">
          <cell r="A361" t="str">
            <v>RHNM-SHDEM</v>
          </cell>
          <cell r="B361" t="str">
            <v>VAR_fin</v>
          </cell>
          <cell r="C361" t="str">
            <v>RHNM-SHLTHD</v>
          </cell>
          <cell r="D361"/>
          <cell r="E361">
            <v>0.24258899902937894</v>
          </cell>
          <cell r="F361">
            <v>0.14730821300967489</v>
          </cell>
          <cell r="G361">
            <v>0.22695072445703304</v>
          </cell>
          <cell r="H361">
            <v>0.26492431494082574</v>
          </cell>
          <cell r="I361">
            <v>0.29194885979674357</v>
          </cell>
          <cell r="J361"/>
          <cell r="K361"/>
        </row>
        <row r="362">
          <cell r="A362" t="str">
            <v>RHNM-SHDEM</v>
          </cell>
          <cell r="B362" t="str">
            <v>VAR_fin</v>
          </cell>
          <cell r="C362" t="str">
            <v>RHNM-SHCON</v>
          </cell>
          <cell r="D362"/>
          <cell r="F362">
            <v>1.8522803324602924E-3</v>
          </cell>
          <cell r="G362">
            <v>2.0466487594135207E-3</v>
          </cell>
          <cell r="H362">
            <v>3.4586915464733313E-3</v>
          </cell>
          <cell r="I362">
            <v>3.4348305668944505E-3</v>
          </cell>
          <cell r="J362"/>
          <cell r="K362"/>
        </row>
        <row r="363">
          <cell r="A363" t="str">
            <v>RHNM-SHDEM</v>
          </cell>
          <cell r="B363" t="str">
            <v>VAR_fin</v>
          </cell>
          <cell r="C363" t="str">
            <v>RHNM-SHELCB</v>
          </cell>
          <cell r="D363"/>
          <cell r="E363">
            <v>0.11392419744410562</v>
          </cell>
          <cell r="F363">
            <v>8.6374154453694029E-4</v>
          </cell>
          <cell r="G363">
            <v>1.1994429307804733E-3</v>
          </cell>
          <cell r="H363">
            <v>1.2532855866132387E-3</v>
          </cell>
          <cell r="I363">
            <v>1.2954745503345314E-3</v>
          </cell>
          <cell r="J363"/>
          <cell r="K363"/>
        </row>
        <row r="364">
          <cell r="A364" t="str">
            <v>RHNM-SHDEM</v>
          </cell>
          <cell r="B364" t="str">
            <v>VAR_fin</v>
          </cell>
          <cell r="C364" t="str">
            <v>RHNM-SHWOD</v>
          </cell>
          <cell r="D364"/>
          <cell r="E364">
            <v>6.8119662516756052E-2</v>
          </cell>
          <cell r="F364">
            <v>6.1865066784738589E-4</v>
          </cell>
          <cell r="G364">
            <v>6.4783205037208715E-3</v>
          </cell>
          <cell r="H364">
            <v>1.008464841705012E-2</v>
          </cell>
          <cell r="I364">
            <v>7.0774557102700549E-4</v>
          </cell>
          <cell r="J364"/>
        </row>
        <row r="365">
          <cell r="A365" t="str">
            <v>RHNM-SHDEM</v>
          </cell>
          <cell r="B365" t="str">
            <v>VAR_fin</v>
          </cell>
          <cell r="C365" t="str">
            <v>RHNM-SHELCH</v>
          </cell>
          <cell r="D365"/>
          <cell r="E365">
            <v>3.3488376309394337E-2</v>
          </cell>
          <cell r="F365">
            <v>0.88560729601114674</v>
          </cell>
          <cell r="G365">
            <v>1.5511044649800361</v>
          </cell>
          <cell r="H365">
            <v>2.4089078326653031</v>
          </cell>
          <cell r="I365">
            <v>2.9409294182998877</v>
          </cell>
          <cell r="J365"/>
        </row>
        <row r="366">
          <cell r="A366" t="str">
            <v>RHNM-SHDEM</v>
          </cell>
          <cell r="B366" t="str">
            <v>VAR_fin</v>
          </cell>
          <cell r="C366" t="str">
            <v>RHNM-SHNST</v>
          </cell>
          <cell r="D366"/>
          <cell r="E366">
            <v>2.1885919594579997E-2</v>
          </cell>
          <cell r="F366">
            <v>6.1556712676780767E-5</v>
          </cell>
          <cell r="G366">
            <v>4.2679104116813108E-5</v>
          </cell>
          <cell r="H366"/>
          <cell r="I366"/>
          <cell r="J366"/>
          <cell r="K366"/>
        </row>
        <row r="367">
          <cell r="A367" t="str">
            <v>RHNM-SHDEM</v>
          </cell>
          <cell r="B367" t="str">
            <v>VAR_fin</v>
          </cell>
          <cell r="C367" t="str">
            <v>RHNM-SHPLT</v>
          </cell>
          <cell r="D367"/>
          <cell r="E367">
            <v>6.3700983627553831E-2</v>
          </cell>
          <cell r="F367">
            <v>1.1270007257237587E-4</v>
          </cell>
          <cell r="G367">
            <v>1.3423574486013835E-4</v>
          </cell>
          <cell r="H367"/>
          <cell r="I367">
            <v>1.1017141279215003E-4</v>
          </cell>
          <cell r="J367"/>
          <cell r="K367"/>
        </row>
        <row r="368">
          <cell r="A368" t="str">
            <v>RHNM-SHDEM</v>
          </cell>
          <cell r="B368" t="str">
            <v>VAR_fin</v>
          </cell>
          <cell r="C368" t="str">
            <v>RHNM-SHLTHC-NGA</v>
          </cell>
          <cell r="D368"/>
          <cell r="E368">
            <v>3.3793969032016355E-2</v>
          </cell>
          <cell r="F368">
            <v>5.219547797383143E-5</v>
          </cell>
          <cell r="G368"/>
          <cell r="H368"/>
          <cell r="I368">
            <v>1.03689792800315E-6</v>
          </cell>
          <cell r="J368"/>
        </row>
        <row r="369">
          <cell r="A369" t="str">
            <v>RHNM-SHDEM</v>
          </cell>
          <cell r="B369" t="str">
            <v>VAR_fin</v>
          </cell>
          <cell r="C369" t="str">
            <v>RHNM-SHSOL</v>
          </cell>
          <cell r="E369">
            <v>4.0177008693488891E-2</v>
          </cell>
          <cell r="F369">
            <v>4.6803522868990057E-4</v>
          </cell>
          <cell r="G369">
            <v>4.5687234658326186E-4</v>
          </cell>
          <cell r="H369">
            <v>5.8356797351435355E-4</v>
          </cell>
          <cell r="I369">
            <v>1.1993407373844989E-3</v>
          </cell>
          <cell r="J369"/>
          <cell r="K369"/>
        </row>
        <row r="370">
          <cell r="A370" t="str">
            <v>RHNM-SHDEM</v>
          </cell>
          <cell r="B370" t="str">
            <v>VAR_fin</v>
          </cell>
          <cell r="C370" t="str">
            <v>RHNM-SHLTHC-WOD</v>
          </cell>
          <cell r="F370">
            <v>5.5023994543163568E-5</v>
          </cell>
          <cell r="G370">
            <v>1.605417884188835E-5</v>
          </cell>
          <cell r="H370">
            <v>6.8413522138077875E-5</v>
          </cell>
          <cell r="I370">
            <v>6.1223273150131806E-5</v>
          </cell>
          <cell r="J370"/>
          <cell r="K370"/>
        </row>
        <row r="371">
          <cell r="A371" t="str">
            <v>RHNM-SHDEM</v>
          </cell>
          <cell r="B371" t="str">
            <v>VAR_fin</v>
          </cell>
          <cell r="C371" t="str">
            <v>RHNM-SHNGAH</v>
          </cell>
          <cell r="F371">
            <v>0.25524321294438834</v>
          </cell>
          <cell r="G371">
            <v>0.71162686405482767</v>
          </cell>
          <cell r="H371">
            <v>1.1531234966167947</v>
          </cell>
          <cell r="I371">
            <v>1.1539558501402967</v>
          </cell>
          <cell r="J371"/>
          <cell r="K371"/>
        </row>
        <row r="372">
          <cell r="A372" t="str">
            <v>RHNM-SHDEM</v>
          </cell>
          <cell r="B372" t="str">
            <v>VAR_fin</v>
          </cell>
          <cell r="C372" t="str">
            <v>RHNM-SHNGA</v>
          </cell>
          <cell r="E372">
            <v>0.55629213106821396</v>
          </cell>
          <cell r="F372">
            <v>2.3297841576902095E-3</v>
          </cell>
          <cell r="G372">
            <v>7.6471179756276856E-3</v>
          </cell>
          <cell r="H372">
            <v>1.5172474578156137E-4</v>
          </cell>
          <cell r="I372"/>
          <cell r="J372"/>
          <cell r="K372"/>
        </row>
        <row r="373">
          <cell r="A373" t="str">
            <v>SCOM-STG-ELCSPEC</v>
          </cell>
          <cell r="B373" t="str">
            <v>VAR_fout</v>
          </cell>
          <cell r="C373" t="str">
            <v>SCOM-ELS</v>
          </cell>
          <cell r="D373"/>
          <cell r="E373">
            <v>1.7576697515254102E-2</v>
          </cell>
          <cell r="F373">
            <v>1.8851038776688075E-2</v>
          </cell>
          <cell r="G373">
            <v>1.9492949985128131E-2</v>
          </cell>
          <cell r="H373">
            <v>1.9409356045381781E-2</v>
          </cell>
          <cell r="I373">
            <v>1.9804260994794872E-2</v>
          </cell>
          <cell r="J373"/>
        </row>
        <row r="374">
          <cell r="A374" t="str">
            <v>SCOM-STG-ELCSPEC</v>
          </cell>
          <cell r="B374" t="str">
            <v>VAR_fin</v>
          </cell>
          <cell r="C374" t="str">
            <v>SCOM-ELS</v>
          </cell>
          <cell r="E374">
            <v>1.7578600970476584E-2</v>
          </cell>
          <cell r="F374">
            <v>1.8854134369881988E-2</v>
          </cell>
          <cell r="G374">
            <v>1.9494377576544809E-2</v>
          </cell>
          <cell r="H374">
            <v>1.9410902602750028E-2</v>
          </cell>
          <cell r="I374">
            <v>1.9805978565718259E-2</v>
          </cell>
          <cell r="J374"/>
          <cell r="K374"/>
        </row>
        <row r="375">
          <cell r="A375" t="str">
            <v>SCOM-STG-ELCSPEC</v>
          </cell>
          <cell r="B375" t="str">
            <v>VAR_ncap</v>
          </cell>
          <cell r="C375" t="str">
            <v>-</v>
          </cell>
          <cell r="E375">
            <v>6.6461865818900098E-4</v>
          </cell>
          <cell r="F375">
            <v>4.2324440875769198E-5</v>
          </cell>
          <cell r="G375">
            <v>1.1993336030025799E-5</v>
          </cell>
          <cell r="H375">
            <v>3.2188910254204198E-4</v>
          </cell>
          <cell r="I375">
            <v>3.9497635646094399E-4</v>
          </cell>
          <cell r="J375"/>
          <cell r="K375"/>
        </row>
        <row r="376">
          <cell r="A376" t="str">
            <v>SCOM-STG-ELCSPEC</v>
          </cell>
          <cell r="B376" t="str">
            <v>VAR_cap</v>
          </cell>
          <cell r="C376" t="str">
            <v>-</v>
          </cell>
          <cell r="E376">
            <v>6.6461865818900098E-4</v>
          </cell>
          <cell r="F376">
            <v>7.0653899871009253E-4</v>
          </cell>
          <cell r="G376">
            <v>7.1771405033423162E-4</v>
          </cell>
          <cell r="H376">
            <v>7.2131805451496826E-4</v>
          </cell>
          <cell r="I376">
            <v>7.2232789453549595E-4</v>
          </cell>
          <cell r="J376"/>
          <cell r="K376"/>
        </row>
        <row r="377">
          <cell r="A377" t="str">
            <v>RHNS-SHCONBR3</v>
          </cell>
          <cell r="B377" t="str">
            <v>VAR_ncap</v>
          </cell>
          <cell r="C377" t="str">
            <v>-</v>
          </cell>
          <cell r="D377"/>
          <cell r="F377">
            <v>375</v>
          </cell>
          <cell r="G377">
            <v>5.3546708989193998</v>
          </cell>
          <cell r="H377"/>
          <cell r="I377"/>
          <cell r="J377"/>
          <cell r="K377"/>
        </row>
        <row r="378">
          <cell r="A378" t="str">
            <v>RHNS-SHCONBR3</v>
          </cell>
          <cell r="B378" t="str">
            <v>VAR_cap</v>
          </cell>
          <cell r="C378" t="str">
            <v>-</v>
          </cell>
          <cell r="F378">
            <v>375</v>
          </cell>
          <cell r="G378">
            <v>13.250580098571959</v>
          </cell>
          <cell r="H378">
            <v>7.1399867705630413</v>
          </cell>
          <cell r="I378">
            <v>3.2078828560950114</v>
          </cell>
          <cell r="J378"/>
          <cell r="K378"/>
        </row>
        <row r="379">
          <cell r="A379" t="str">
            <v>SCOM-SHCONBR7</v>
          </cell>
          <cell r="B379" t="str">
            <v>VAR_fout</v>
          </cell>
          <cell r="C379" t="str">
            <v>SCOM-SHCON</v>
          </cell>
          <cell r="D379"/>
          <cell r="E379">
            <v>6.3505106283143025E-4</v>
          </cell>
          <cell r="F379">
            <v>3.3989709473258845E-4</v>
          </cell>
          <cell r="G379">
            <v>3.4848904901711562E-4</v>
          </cell>
          <cell r="H379">
            <v>5.4194627202659685E-4</v>
          </cell>
          <cell r="I379">
            <v>4.2285951241226419E-4</v>
          </cell>
          <cell r="J379"/>
          <cell r="K379"/>
        </row>
        <row r="380">
          <cell r="A380" t="str">
            <v>SCOM-SHCONBR7</v>
          </cell>
          <cell r="B380" t="str">
            <v>VAR_fin</v>
          </cell>
          <cell r="C380" t="str">
            <v>CON</v>
          </cell>
          <cell r="E380">
            <v>6.3505106283143025E-4</v>
          </cell>
          <cell r="F380">
            <v>3.3989709473258845E-4</v>
          </cell>
          <cell r="G380">
            <v>3.4848904901711562E-4</v>
          </cell>
          <cell r="H380">
            <v>5.4194627202659685E-4</v>
          </cell>
          <cell r="I380">
            <v>4.2285951241226419E-4</v>
          </cell>
          <cell r="J380"/>
          <cell r="K380"/>
        </row>
        <row r="381">
          <cell r="A381" t="str">
            <v>SCOM-SHCONBR7</v>
          </cell>
          <cell r="B381" t="str">
            <v>VAR_ncap</v>
          </cell>
          <cell r="C381" t="str">
            <v>-</v>
          </cell>
          <cell r="E381">
            <v>5.5592515374208803E-5</v>
          </cell>
          <cell r="F381">
            <v>1.07602360697187E-7</v>
          </cell>
          <cell r="G381">
            <v>9.0541460724634202E-8</v>
          </cell>
          <cell r="H381"/>
          <cell r="I381">
            <v>7.5420529752845899E-6</v>
          </cell>
          <cell r="J381"/>
          <cell r="K381"/>
        </row>
        <row r="382">
          <cell r="A382" t="str">
            <v>SCOM-SHCONBR7</v>
          </cell>
          <cell r="B382" t="str">
            <v>VAR_cap</v>
          </cell>
          <cell r="C382" t="str">
            <v>-</v>
          </cell>
          <cell r="D382"/>
          <cell r="E382">
            <v>5.5592515374208803E-5</v>
          </cell>
          <cell r="F382">
            <v>5.5630755200450143E-5</v>
          </cell>
          <cell r="G382">
            <v>5.5614330761752968E-5</v>
          </cell>
          <cell r="H382">
            <v>5.6850689136359197E-5</v>
          </cell>
          <cell r="I382">
            <v>4.1013376734652326E-5</v>
          </cell>
          <cell r="J382"/>
          <cell r="K382"/>
        </row>
        <row r="383">
          <cell r="A383" t="str">
            <v>RHNS-SHCONBR4</v>
          </cell>
          <cell r="B383" t="str">
            <v>VAR_ncap</v>
          </cell>
          <cell r="C383" t="str">
            <v>-</v>
          </cell>
          <cell r="F383">
            <v>375</v>
          </cell>
          <cell r="G383">
            <v>5.3546708989194798</v>
          </cell>
          <cell r="H383"/>
          <cell r="I383"/>
          <cell r="J383"/>
          <cell r="K383"/>
        </row>
        <row r="384">
          <cell r="A384" t="str">
            <v>RHNS-SHCONBR4</v>
          </cell>
          <cell r="B384" t="str">
            <v>VAR_cap</v>
          </cell>
          <cell r="C384" t="str">
            <v>-</v>
          </cell>
          <cell r="F384">
            <v>375</v>
          </cell>
          <cell r="G384">
            <v>13.250580098570993</v>
          </cell>
          <cell r="H384">
            <v>7.1399867705630413</v>
          </cell>
          <cell r="I384">
            <v>3.2078828560939883</v>
          </cell>
          <cell r="J384"/>
          <cell r="K384"/>
        </row>
        <row r="385">
          <cell r="A385" t="str">
            <v>SCOM-SHCONBR8</v>
          </cell>
          <cell r="B385" t="str">
            <v>VAR_fout</v>
          </cell>
          <cell r="C385" t="str">
            <v>SCOM-SHCON</v>
          </cell>
          <cell r="D385"/>
          <cell r="E385">
            <v>2.2414506319912039E-4</v>
          </cell>
          <cell r="F385">
            <v>1.3394765893755367E-4</v>
          </cell>
          <cell r="G385">
            <v>1.3469122356590628E-4</v>
          </cell>
          <cell r="H385">
            <v>1.8269313140233958E-4</v>
          </cell>
          <cell r="I385">
            <v>1.2281016300104333E-4</v>
          </cell>
          <cell r="J385"/>
          <cell r="K385"/>
        </row>
        <row r="386">
          <cell r="A386" t="str">
            <v>SCOM-SHCONBR8</v>
          </cell>
          <cell r="B386" t="str">
            <v>VAR_fin</v>
          </cell>
          <cell r="C386" t="str">
            <v>CON</v>
          </cell>
          <cell r="D386"/>
          <cell r="E386">
            <v>2.2414506319912039E-4</v>
          </cell>
          <cell r="F386">
            <v>1.3394765893755367E-4</v>
          </cell>
          <cell r="G386">
            <v>1.3469122356590628E-4</v>
          </cell>
          <cell r="H386">
            <v>1.8269313140233958E-4</v>
          </cell>
          <cell r="I386">
            <v>1.2281016300104333E-4</v>
          </cell>
          <cell r="J386"/>
        </row>
        <row r="387">
          <cell r="A387" t="str">
            <v>SCOM-SHCONBR8</v>
          </cell>
          <cell r="B387" t="str">
            <v>VAR_ncap</v>
          </cell>
          <cell r="C387" t="str">
            <v>-</v>
          </cell>
          <cell r="E387">
            <v>2.1244099612855801E-5</v>
          </cell>
          <cell r="F387">
            <v>7.8976956816804703E-8</v>
          </cell>
          <cell r="G387">
            <v>6.1417184670975699E-8</v>
          </cell>
          <cell r="H387"/>
          <cell r="I387">
            <v>5.3336199642281602E-7</v>
          </cell>
          <cell r="J387"/>
        </row>
        <row r="388">
          <cell r="A388" t="str">
            <v>SCOM-SHCONBR8</v>
          </cell>
          <cell r="B388" t="str">
            <v>VAR_cap</v>
          </cell>
          <cell r="C388" t="str">
            <v>-</v>
          </cell>
          <cell r="E388">
            <v>2.1244099612855801E-5</v>
          </cell>
          <cell r="F388">
            <v>2.1286827627193509E-5</v>
          </cell>
          <cell r="G388">
            <v>2.1298320157913183E-5</v>
          </cell>
          <cell r="H388">
            <v>2.2274210607335798E-5</v>
          </cell>
          <cell r="I388">
            <v>1.3888282144037068E-5</v>
          </cell>
          <cell r="J388"/>
        </row>
        <row r="389">
          <cell r="A389" t="str">
            <v>ITOT-ELCSPEC</v>
          </cell>
          <cell r="B389" t="str">
            <v>VAR_fout</v>
          </cell>
          <cell r="C389" t="str">
            <v>ITOT-ELS</v>
          </cell>
          <cell r="D389">
            <v>48.063397652170998</v>
          </cell>
          <cell r="E389">
            <v>49.911437712326418</v>
          </cell>
          <cell r="F389">
            <v>51.499320341244683</v>
          </cell>
          <cell r="G389">
            <v>52.9426229903872</v>
          </cell>
          <cell r="H389">
            <v>54.242935392840174</v>
          </cell>
          <cell r="I389">
            <v>38.637052138331654</v>
          </cell>
          <cell r="J389"/>
          <cell r="K389"/>
        </row>
        <row r="390">
          <cell r="A390" t="str">
            <v>ITOT-ELCSPEC</v>
          </cell>
          <cell r="B390" t="str">
            <v>VAR_fin</v>
          </cell>
          <cell r="C390" t="str">
            <v>ITOT_ELC</v>
          </cell>
          <cell r="D390">
            <v>48.063397652170998</v>
          </cell>
          <cell r="E390">
            <v>49.911437712326418</v>
          </cell>
          <cell r="F390">
            <v>51.499320341244683</v>
          </cell>
          <cell r="G390">
            <v>52.9426229903872</v>
          </cell>
          <cell r="H390">
            <v>54.242935392840174</v>
          </cell>
          <cell r="I390">
            <v>38.637052138331654</v>
          </cell>
          <cell r="J390"/>
          <cell r="K390"/>
        </row>
        <row r="391">
          <cell r="A391" t="str">
            <v>ITOT-ELCSPEC</v>
          </cell>
          <cell r="B391" t="str">
            <v>VAR_ncap</v>
          </cell>
          <cell r="C391" t="str">
            <v>-</v>
          </cell>
          <cell r="D391">
            <v>8.3500192968272005E-2</v>
          </cell>
          <cell r="E391">
            <v>0.100501343355728</v>
          </cell>
          <cell r="F391">
            <v>8.6354930621694095E-2</v>
          </cell>
          <cell r="G391">
            <v>7.8492853512074606E-2</v>
          </cell>
          <cell r="H391">
            <v>1.82882923313047E-2</v>
          </cell>
          <cell r="I391">
            <v>1.69288226397123</v>
          </cell>
          <cell r="J391"/>
          <cell r="K391"/>
        </row>
        <row r="392">
          <cell r="A392" t="str">
            <v>ITOT-ELCSPEC</v>
          </cell>
          <cell r="B392" t="str">
            <v>VAR_cap</v>
          </cell>
          <cell r="C392" t="str">
            <v>-</v>
          </cell>
          <cell r="D392">
            <v>2.6138274250009821</v>
          </cell>
          <cell r="E392">
            <v>2.714328250043919</v>
          </cell>
          <cell r="F392">
            <v>2.8006814871867478</v>
          </cell>
          <cell r="G392">
            <v>2.8791712974558856</v>
          </cell>
          <cell r="H392">
            <v>2.9498876277196531</v>
          </cell>
          <cell r="I392">
            <v>2.1011936516673364</v>
          </cell>
          <cell r="J392"/>
          <cell r="K392"/>
        </row>
        <row r="393">
          <cell r="A393" t="str">
            <v>RHNM-SHLTHDH</v>
          </cell>
          <cell r="B393" t="str">
            <v>VAR_fout</v>
          </cell>
          <cell r="C393" t="str">
            <v>RHNM-SHLTHD</v>
          </cell>
          <cell r="D393"/>
          <cell r="E393">
            <v>0.34659257980127095</v>
          </cell>
          <cell r="F393">
            <v>0.14794101624418399</v>
          </cell>
          <cell r="G393">
            <v>0.22724809566819767</v>
          </cell>
          <cell r="H393">
            <v>0.2652795748594422</v>
          </cell>
          <cell r="I393">
            <v>0.29295012920951885</v>
          </cell>
          <cell r="J393"/>
          <cell r="K393"/>
        </row>
        <row r="394">
          <cell r="A394" t="str">
            <v>RHNM-SHLTHDH</v>
          </cell>
          <cell r="B394" t="str">
            <v>VAR_fin</v>
          </cell>
          <cell r="C394" t="str">
            <v>RHNMLTHDHC</v>
          </cell>
          <cell r="E394">
            <v>0.34659257980127095</v>
          </cell>
          <cell r="F394">
            <v>0.14794101624418399</v>
          </cell>
          <cell r="G394">
            <v>0.22724809566819767</v>
          </cell>
          <cell r="H394">
            <v>0.2652795748594422</v>
          </cell>
          <cell r="I394">
            <v>0.29295012920951885</v>
          </cell>
          <cell r="J394"/>
          <cell r="K394"/>
        </row>
        <row r="395">
          <cell r="A395" t="str">
            <v>RHNM-SHLTHDH</v>
          </cell>
          <cell r="B395" t="str">
            <v>VAR_fin</v>
          </cell>
          <cell r="C395" t="str">
            <v>RHNM_LTH_DH</v>
          </cell>
          <cell r="E395">
            <v>0.35009351495077856</v>
          </cell>
          <cell r="F395">
            <v>0.16351700903200794</v>
          </cell>
          <cell r="G395">
            <v>0.25079288758607143</v>
          </cell>
          <cell r="H395">
            <v>0.29224472529773654</v>
          </cell>
          <cell r="I395">
            <v>0.32272793743029093</v>
          </cell>
          <cell r="J395"/>
          <cell r="K395"/>
        </row>
        <row r="396">
          <cell r="A396" t="str">
            <v>RHNM-SHLTHDH</v>
          </cell>
          <cell r="B396" t="str">
            <v>VAR_ncap</v>
          </cell>
          <cell r="C396" t="str">
            <v>-</v>
          </cell>
          <cell r="D396"/>
          <cell r="E396">
            <v>3.3661197647138499E-2</v>
          </cell>
          <cell r="F396">
            <v>7.5289157375530496E-3</v>
          </cell>
          <cell r="G396">
            <v>9.7290470913105297E-3</v>
          </cell>
          <cell r="H396">
            <v>2.1965839754059701E-2</v>
          </cell>
          <cell r="I396">
            <v>3.40193190165263E-2</v>
          </cell>
          <cell r="J396"/>
          <cell r="K396"/>
        </row>
        <row r="397">
          <cell r="A397" t="str">
            <v>RHNM-SHLTHDH</v>
          </cell>
          <cell r="B397" t="str">
            <v>VAR_cap</v>
          </cell>
          <cell r="C397" t="str">
            <v>-</v>
          </cell>
          <cell r="E397">
            <v>3.3661197647138499E-2</v>
          </cell>
          <cell r="F397">
            <v>1.27960606681604E-2</v>
          </cell>
          <cell r="G397">
            <v>1.7665938835764797E-2</v>
          </cell>
          <cell r="H397">
            <v>4.1565124013117995E-2</v>
          </cell>
          <cell r="I397">
            <v>6.1119558850701208E-2</v>
          </cell>
          <cell r="J397"/>
        </row>
        <row r="398">
          <cell r="A398" t="str">
            <v>RHNS-SHCONBR5</v>
          </cell>
          <cell r="B398" t="str">
            <v>VAR_ncap</v>
          </cell>
          <cell r="C398" t="str">
            <v>-</v>
          </cell>
          <cell r="F398">
            <v>375</v>
          </cell>
          <cell r="G398">
            <v>5.3546708989193998</v>
          </cell>
          <cell r="H398"/>
          <cell r="I398"/>
        </row>
        <row r="399">
          <cell r="A399" t="str">
            <v>RHNS-SHCONBR5</v>
          </cell>
          <cell r="B399" t="str">
            <v>VAR_cap</v>
          </cell>
          <cell r="C399" t="str">
            <v>-</v>
          </cell>
          <cell r="D399"/>
          <cell r="F399">
            <v>375</v>
          </cell>
          <cell r="G399">
            <v>13.250580098571959</v>
          </cell>
          <cell r="H399">
            <v>7.1399867705630413</v>
          </cell>
          <cell r="I399">
            <v>3.2078828560950114</v>
          </cell>
          <cell r="J399"/>
        </row>
        <row r="400">
          <cell r="A400" t="str">
            <v>SCOM-SHCONBR9</v>
          </cell>
          <cell r="B400" t="str">
            <v>VAR_fout</v>
          </cell>
          <cell r="C400" t="str">
            <v>SCOM-SHCON</v>
          </cell>
          <cell r="E400">
            <v>7.7853974226796201E-5</v>
          </cell>
          <cell r="F400">
            <v>5.4775253168239875E-5</v>
          </cell>
          <cell r="G400">
            <v>5.2846973145882076E-5</v>
          </cell>
          <cell r="H400">
            <v>6.4199245075906969E-5</v>
          </cell>
          <cell r="I400">
            <v>4.3974341840909044E-5</v>
          </cell>
          <cell r="J400"/>
        </row>
        <row r="401">
          <cell r="A401" t="str">
            <v>SCOM-SHCONBR9</v>
          </cell>
          <cell r="B401" t="str">
            <v>VAR_fin</v>
          </cell>
          <cell r="C401" t="str">
            <v>CON</v>
          </cell>
          <cell r="E401">
            <v>7.7853974226796201E-5</v>
          </cell>
          <cell r="F401">
            <v>5.4775253168239875E-5</v>
          </cell>
          <cell r="G401">
            <v>5.2846973145882076E-5</v>
          </cell>
          <cell r="H401">
            <v>6.4199245075906969E-5</v>
          </cell>
          <cell r="I401">
            <v>4.3974341840909044E-5</v>
          </cell>
          <cell r="J401"/>
          <cell r="K401"/>
        </row>
        <row r="402">
          <cell r="A402" t="str">
            <v>SCOM-SHCONBR9</v>
          </cell>
          <cell r="B402" t="str">
            <v>VAR_ncap</v>
          </cell>
          <cell r="C402" t="str">
            <v>-</v>
          </cell>
          <cell r="E402">
            <v>7.70733108907567E-6</v>
          </cell>
          <cell r="F402">
            <v>5.2126733838358097E-8</v>
          </cell>
          <cell r="G402">
            <v>3.3499296396909702E-8</v>
          </cell>
          <cell r="H402"/>
          <cell r="I402">
            <v>9.8633554363431402E-8</v>
          </cell>
          <cell r="J402"/>
          <cell r="K402"/>
        </row>
        <row r="403">
          <cell r="A403" t="str">
            <v>SCOM-SHCONBR9</v>
          </cell>
          <cell r="B403" t="str">
            <v>VAR_cap</v>
          </cell>
          <cell r="C403" t="str">
            <v>-</v>
          </cell>
          <cell r="E403">
            <v>7.70733108907567E-6</v>
          </cell>
          <cell r="F403">
            <v>7.7420330546794191E-6</v>
          </cell>
          <cell r="G403">
            <v>7.7554972888243223E-6</v>
          </cell>
          <cell r="H403">
            <v>8.523599363530608E-6</v>
          </cell>
          <cell r="I403">
            <v>5.3989109128847563E-6</v>
          </cell>
          <cell r="J403"/>
          <cell r="K403"/>
        </row>
        <row r="404">
          <cell r="A404" t="str">
            <v>ITOT-SWHCOABR</v>
          </cell>
          <cell r="B404" t="str">
            <v>VAR_fout</v>
          </cell>
          <cell r="C404" t="str">
            <v>ITOT-SWH</v>
          </cell>
          <cell r="D404">
            <v>2.3674028525152573</v>
          </cell>
          <cell r="E404">
            <v>2.3075018166753347</v>
          </cell>
          <cell r="F404">
            <v>1.4000838646813047E-3</v>
          </cell>
          <cell r="G404">
            <v>1.9699566428539876</v>
          </cell>
          <cell r="H404">
            <v>1.9342627227034482E-4</v>
          </cell>
          <cell r="I404">
            <v>1.4681059157839883E-4</v>
          </cell>
          <cell r="J404"/>
          <cell r="K404"/>
        </row>
        <row r="405">
          <cell r="A405" t="str">
            <v>ITOT-SWHCOABR</v>
          </cell>
          <cell r="B405" t="str">
            <v>VAR_fout</v>
          </cell>
          <cell r="C405" t="str">
            <v>CO2_I</v>
          </cell>
          <cell r="D405">
            <v>330.01239763633799</v>
          </cell>
          <cell r="E405">
            <v>321.179306915621</v>
          </cell>
          <cell r="F405">
            <v>0.19443861311753899</v>
          </cell>
          <cell r="G405">
            <v>272.55967282472301</v>
          </cell>
          <cell r="H405">
            <v>2.65638747251273E-2</v>
          </cell>
          <cell r="I405">
            <v>2.00137379989964E-2</v>
          </cell>
          <cell r="J405"/>
          <cell r="K405"/>
        </row>
        <row r="406">
          <cell r="A406" t="str">
            <v>ITOT-SWHCOABR</v>
          </cell>
          <cell r="B406" t="str">
            <v>VAR_fin</v>
          </cell>
          <cell r="C406" t="str">
            <v>ICOA</v>
          </cell>
          <cell r="D406">
            <v>3.5600042894966295</v>
          </cell>
          <cell r="E406">
            <v>3.4647174424554592</v>
          </cell>
          <cell r="F406">
            <v>2.0975039171255492E-3</v>
          </cell>
          <cell r="G406">
            <v>2.9402337953044606</v>
          </cell>
          <cell r="H406">
            <v>2.8655744040051055E-4</v>
          </cell>
          <cell r="I406">
            <v>2.1589792879176303E-4</v>
          </cell>
          <cell r="J406"/>
          <cell r="K406"/>
        </row>
        <row r="407">
          <cell r="A407" t="str">
            <v>ITOT-SWHCOABR</v>
          </cell>
          <cell r="B407" t="str">
            <v>VAR_ncap</v>
          </cell>
          <cell r="C407" t="str">
            <v>-</v>
          </cell>
          <cell r="E407">
            <v>9.81225077174404E-6</v>
          </cell>
          <cell r="F407">
            <v>8.5900623515288192E-6</v>
          </cell>
          <cell r="G407">
            <v>0.10991323434113801</v>
          </cell>
          <cell r="H407">
            <v>7.3485315619046003E-6</v>
          </cell>
          <cell r="I407">
            <v>1.00631580931893E-5</v>
          </cell>
          <cell r="K407"/>
        </row>
        <row r="408">
          <cell r="A408" t="str">
            <v>ITOT-SWHCOABR</v>
          </cell>
          <cell r="B408" t="str">
            <v>VAR_cap</v>
          </cell>
          <cell r="C408" t="str">
            <v>-</v>
          </cell>
          <cell r="D408">
            <v>0.26172155007150499</v>
          </cell>
          <cell r="E408">
            <v>0.15142718086741175</v>
          </cell>
          <cell r="F408">
            <v>1.3437915615827078E-4</v>
          </cell>
          <cell r="G408">
            <v>0.11004388801520698</v>
          </cell>
          <cell r="H408">
            <v>1.7542033669798451E-5</v>
          </cell>
          <cell r="I408">
            <v>1.3959659056791739E-5</v>
          </cell>
          <cell r="J408"/>
          <cell r="K408"/>
        </row>
        <row r="409">
          <cell r="A409" t="str">
            <v>RHSA-WHDEM</v>
          </cell>
          <cell r="B409" t="str">
            <v>VAR_fout</v>
          </cell>
          <cell r="C409" t="str">
            <v>WWTPC</v>
          </cell>
          <cell r="D409">
            <v>2.5888853146957925E-2</v>
          </cell>
          <cell r="E409">
            <v>1.0653854923369128E-4</v>
          </cell>
          <cell r="F409">
            <v>9.5639727890606957E-5</v>
          </cell>
          <cell r="G409">
            <v>9.5271095931621225E-5</v>
          </cell>
          <cell r="H409">
            <v>9.1321303926002518E-5</v>
          </cell>
          <cell r="I409">
            <v>8.4078095733183117E-5</v>
          </cell>
          <cell r="J409"/>
          <cell r="K409"/>
        </row>
        <row r="410">
          <cell r="A410" t="str">
            <v>RHSA-WHDEM</v>
          </cell>
          <cell r="B410" t="str">
            <v>VAR_fout</v>
          </cell>
          <cell r="C410" t="str">
            <v>RHSA-WHD</v>
          </cell>
          <cell r="D410">
            <v>26.438654975424289</v>
          </cell>
          <cell r="E410">
            <v>25.92879146371218</v>
          </cell>
          <cell r="F410">
            <v>21.253335067621798</v>
          </cell>
          <cell r="G410">
            <v>22.041277790326212</v>
          </cell>
          <cell r="H410">
            <v>26.415451115073793</v>
          </cell>
          <cell r="I410">
            <v>27.57406886440479</v>
          </cell>
          <cell r="J410"/>
        </row>
        <row r="411">
          <cell r="A411" t="str">
            <v>RHSA-WHDEM</v>
          </cell>
          <cell r="B411" t="str">
            <v>VAR_fin</v>
          </cell>
          <cell r="C411" t="str">
            <v>RHSA-WHNGA</v>
          </cell>
          <cell r="D411">
            <v>6.2074464612151825</v>
          </cell>
          <cell r="E411">
            <v>5.5409534055767056</v>
          </cell>
          <cell r="F411">
            <v>4.9543873157088614</v>
          </cell>
          <cell r="G411">
            <v>2.8868488332027389</v>
          </cell>
          <cell r="H411">
            <v>0.76422297545760254</v>
          </cell>
          <cell r="I411">
            <v>0.34028714104065078</v>
          </cell>
          <cell r="J411"/>
          <cell r="K411"/>
        </row>
        <row r="412">
          <cell r="A412" t="str">
            <v>RHSA-WHDEM</v>
          </cell>
          <cell r="B412" t="str">
            <v>VAR_fin</v>
          </cell>
          <cell r="C412" t="str">
            <v>RHSA-WHLFO</v>
          </cell>
          <cell r="D412">
            <v>6.8187593728199847</v>
          </cell>
          <cell r="E412">
            <v>5.5423478838256663</v>
          </cell>
          <cell r="F412">
            <v>4.3218086745703177</v>
          </cell>
          <cell r="G412">
            <v>1.8237101488520759</v>
          </cell>
          <cell r="H412">
            <v>0.39491944404907897</v>
          </cell>
          <cell r="I412">
            <v>1.6966427083506808E-2</v>
          </cell>
          <cell r="J412"/>
          <cell r="K412"/>
        </row>
        <row r="413">
          <cell r="A413" t="str">
            <v>RHSA-WHDEM</v>
          </cell>
          <cell r="B413" t="str">
            <v>VAR_fin</v>
          </cell>
          <cell r="C413" t="str">
            <v>RHSA-WHWOD</v>
          </cell>
          <cell r="D413">
            <v>0.5556403928591096</v>
          </cell>
          <cell r="E413">
            <v>0.59699899058804695</v>
          </cell>
          <cell r="F413">
            <v>1.0316921892077695</v>
          </cell>
          <cell r="G413">
            <v>0.9094203335191976</v>
          </cell>
          <cell r="H413">
            <v>0.63611702286046146</v>
          </cell>
          <cell r="I413">
            <v>0.34499203661142108</v>
          </cell>
          <cell r="J413"/>
          <cell r="K413"/>
        </row>
        <row r="414">
          <cell r="A414" t="str">
            <v>RHSA-WHDEM</v>
          </cell>
          <cell r="B414" t="str">
            <v>VAR_fin</v>
          </cell>
          <cell r="C414" t="str">
            <v>RHSA-WHNGAH</v>
          </cell>
          <cell r="D414">
            <v>5.6768662686858548E-3</v>
          </cell>
          <cell r="E414">
            <v>1.9702938551454364E-4</v>
          </cell>
          <cell r="F414">
            <v>0.89099016997092817</v>
          </cell>
          <cell r="G414">
            <v>2.131552537753953</v>
          </cell>
          <cell r="H414">
            <v>3.8071595976761627</v>
          </cell>
          <cell r="I414">
            <v>3.7674011643658871</v>
          </cell>
        </row>
        <row r="415">
          <cell r="A415" t="str">
            <v>RHSA-WHDEM</v>
          </cell>
          <cell r="B415" t="str">
            <v>VAR_fin</v>
          </cell>
          <cell r="C415" t="str">
            <v>RHSA-WHNST</v>
          </cell>
          <cell r="D415">
            <v>8.6276610547335653E-2</v>
          </cell>
          <cell r="E415">
            <v>1.1105549014108523E-4</v>
          </cell>
          <cell r="F415">
            <v>3.5944705478808809E-6</v>
          </cell>
          <cell r="G415">
            <v>3.2787221045299591E-6</v>
          </cell>
          <cell r="H415">
            <v>3.4446990597047368E-6</v>
          </cell>
        </row>
        <row r="416">
          <cell r="A416" t="str">
            <v>RHSA-WHDEM</v>
          </cell>
          <cell r="B416" t="str">
            <v>VAR_fin</v>
          </cell>
          <cell r="C416" t="str">
            <v>RHSA-WHPLT</v>
          </cell>
          <cell r="D416">
            <v>0.26933692408175813</v>
          </cell>
          <cell r="E416">
            <v>0.19460976209501363</v>
          </cell>
          <cell r="F416">
            <v>3.7363528970491632E-2</v>
          </cell>
          <cell r="G416">
            <v>3.4310846849283226E-2</v>
          </cell>
          <cell r="H416">
            <v>2.3235524427480753E-2</v>
          </cell>
          <cell r="I416">
            <v>9.2353657738405391E-3</v>
          </cell>
          <cell r="J416"/>
          <cell r="K416"/>
        </row>
        <row r="417">
          <cell r="A417" t="str">
            <v>RHSA-WHDEM</v>
          </cell>
          <cell r="B417" t="str">
            <v>VAR_fin</v>
          </cell>
          <cell r="C417" t="str">
            <v>RHSA-WHLTHRD</v>
          </cell>
          <cell r="D417">
            <v>1.277071518849501</v>
          </cell>
          <cell r="E417">
            <v>1.4631296055509468</v>
          </cell>
          <cell r="F417">
            <v>1.2067926077394222</v>
          </cell>
          <cell r="G417">
            <v>1.5619712919836843</v>
          </cell>
          <cell r="H417">
            <v>1.6810963470007476</v>
          </cell>
          <cell r="I417">
            <v>1.6728398964673477</v>
          </cell>
          <cell r="J417"/>
          <cell r="K417"/>
        </row>
        <row r="418">
          <cell r="A418" t="str">
            <v>RHSA-WHDEM</v>
          </cell>
          <cell r="B418" t="str">
            <v>VAR_fin</v>
          </cell>
          <cell r="C418" t="str">
            <v>RHSA-WHELCB</v>
          </cell>
          <cell r="D418">
            <v>6.4634406991961191</v>
          </cell>
          <cell r="E418">
            <v>6.9684600331420423</v>
          </cell>
          <cell r="F418">
            <v>2.7566167136371402</v>
          </cell>
          <cell r="G418">
            <v>1.9168845103690835</v>
          </cell>
          <cell r="H418">
            <v>1.6199669341395426</v>
          </cell>
          <cell r="I418">
            <v>1.4273644230328977</v>
          </cell>
        </row>
        <row r="419">
          <cell r="A419" t="str">
            <v>RHSA-WHDEM</v>
          </cell>
          <cell r="B419" t="str">
            <v>VAR_fin</v>
          </cell>
          <cell r="C419" t="str">
            <v>RHSA-WHSOL</v>
          </cell>
          <cell r="D419">
            <v>1.6643157885276769</v>
          </cell>
          <cell r="E419">
            <v>1.9868819305006395</v>
          </cell>
          <cell r="F419">
            <v>0.97687151364413771</v>
          </cell>
          <cell r="G419">
            <v>1.4223696237413714</v>
          </cell>
          <cell r="H419">
            <v>2.0481099007639161</v>
          </cell>
          <cell r="I419">
            <v>2.4774861490560611</v>
          </cell>
        </row>
        <row r="420">
          <cell r="A420" t="str">
            <v>RHSA-WHDEM</v>
          </cell>
          <cell r="B420" t="str">
            <v>VAR_fin</v>
          </cell>
          <cell r="C420" t="str">
            <v>RHSA-WHELCH</v>
          </cell>
          <cell r="D420">
            <v>3.1165791942058902</v>
          </cell>
          <cell r="E420">
            <v>3.6352083061067253</v>
          </cell>
          <cell r="F420">
            <v>5.0769043994300702</v>
          </cell>
          <cell r="G420">
            <v>9.3543016564286265</v>
          </cell>
          <cell r="H420">
            <v>15.440711245303666</v>
          </cell>
          <cell r="I420">
            <v>17.517578827396999</v>
          </cell>
          <cell r="J420"/>
          <cell r="K420"/>
        </row>
        <row r="421">
          <cell r="A421" t="str">
            <v>RHSA-WHNGAHP</v>
          </cell>
          <cell r="B421" t="str">
            <v>VAR_fout</v>
          </cell>
          <cell r="C421" t="str">
            <v>RHSA-WHANGAH</v>
          </cell>
          <cell r="F421">
            <v>0.89098311709228872</v>
          </cell>
          <cell r="G421">
            <v>2.1315451293343015</v>
          </cell>
          <cell r="H421">
            <v>3.8071493878758043</v>
          </cell>
          <cell r="I421">
            <v>3.7673906543203102</v>
          </cell>
          <cell r="J421"/>
          <cell r="K421"/>
        </row>
        <row r="422">
          <cell r="A422" t="str">
            <v>RHSA-WHNGAHP</v>
          </cell>
          <cell r="B422" t="str">
            <v>VAR_fout</v>
          </cell>
          <cell r="C422" t="str">
            <v>CO2_R</v>
          </cell>
          <cell r="F422">
            <v>24.4350840499106</v>
          </cell>
          <cell r="G422">
            <v>50.760533913348198</v>
          </cell>
          <cell r="H422">
            <v>79.675222410401503</v>
          </cell>
          <cell r="I422">
            <v>65.570019558240801</v>
          </cell>
        </row>
        <row r="423">
          <cell r="A423" t="str">
            <v>RHSA-WHNGAHP</v>
          </cell>
          <cell r="B423" t="str">
            <v>VAR_fin</v>
          </cell>
          <cell r="C423" t="str">
            <v>RNGA</v>
          </cell>
          <cell r="F423">
            <v>0.43324617109770541</v>
          </cell>
          <cell r="G423">
            <v>0.90000946654872704</v>
          </cell>
          <cell r="H423">
            <v>1.412681248411374</v>
          </cell>
          <cell r="I423">
            <v>1.1625889992595897</v>
          </cell>
        </row>
        <row r="424">
          <cell r="A424" t="str">
            <v>RHSA-WHNGAHP</v>
          </cell>
          <cell r="B424" t="str">
            <v>VAR_ncap</v>
          </cell>
          <cell r="C424" t="str">
            <v>-</v>
          </cell>
          <cell r="E424">
            <v>1.1377597837292101E-6</v>
          </cell>
          <cell r="F424">
            <v>5.9026147093221799E-2</v>
          </cell>
          <cell r="G424">
            <v>8.6672795610320097E-2</v>
          </cell>
          <cell r="H424">
            <v>0.13147342388249</v>
          </cell>
          <cell r="I424">
            <v>0.13710156286318001</v>
          </cell>
          <cell r="J424"/>
          <cell r="K424"/>
        </row>
        <row r="425">
          <cell r="A425" t="str">
            <v>RHSA-WHNGAHP</v>
          </cell>
          <cell r="B425" t="str">
            <v>VAR_cap</v>
          </cell>
          <cell r="C425" t="str">
            <v>-</v>
          </cell>
          <cell r="D425">
            <v>4.7729432218241499E-11</v>
          </cell>
          <cell r="E425">
            <v>9.429517251994334E-7</v>
          </cell>
          <cell r="F425">
            <v>5.9027013635535891E-2</v>
          </cell>
          <cell r="G425">
            <v>0.14569976650251906</v>
          </cell>
          <cell r="H425">
            <v>0.26023947772542033</v>
          </cell>
          <cell r="I425">
            <v>0.2575215386360209</v>
          </cell>
          <cell r="J425"/>
          <cell r="K425"/>
        </row>
        <row r="426">
          <cell r="A426" t="str">
            <v>SCOM-SHSTG-ELCHP</v>
          </cell>
          <cell r="B426" t="str">
            <v>VAR_fout</v>
          </cell>
          <cell r="C426" t="str">
            <v>SCOM-SHAELCH</v>
          </cell>
          <cell r="D426">
            <v>8.3060453965186905E-6</v>
          </cell>
          <cell r="E426">
            <v>1.6592074591859077E-5</v>
          </cell>
          <cell r="F426">
            <v>1.6499875848285569E-5</v>
          </cell>
          <cell r="G426">
            <v>1.5052205246151039E-5</v>
          </cell>
          <cell r="H426">
            <v>2.4165403024537608E-5</v>
          </cell>
          <cell r="I426">
            <v>8.6879353648100255E-6</v>
          </cell>
        </row>
        <row r="427">
          <cell r="A427" t="str">
            <v>SCOM-SHSTG-ELCHP</v>
          </cell>
          <cell r="B427" t="str">
            <v>VAR_fin</v>
          </cell>
          <cell r="C427" t="str">
            <v>SCOM-SHAELCH</v>
          </cell>
          <cell r="D427">
            <v>1.2115802925173291E-5</v>
          </cell>
          <cell r="E427">
            <v>1.6947331547429036E-5</v>
          </cell>
          <cell r="F427">
            <v>1.8302114220482612E-5</v>
          </cell>
          <cell r="G427">
            <v>1.622074544916381E-5</v>
          </cell>
          <cell r="H427">
            <v>3.0126697714252773E-5</v>
          </cell>
          <cell r="I427">
            <v>8.4254280228094188E-6</v>
          </cell>
        </row>
        <row r="428">
          <cell r="A428" t="str">
            <v>SCOM-SHSTG-ELCHP</v>
          </cell>
          <cell r="B428" t="str">
            <v>VAR_ncap</v>
          </cell>
          <cell r="C428" t="str">
            <v>-</v>
          </cell>
          <cell r="D428">
            <v>1.21996563358205E-2</v>
          </cell>
          <cell r="E428">
            <v>8.9192951880116403E-2</v>
          </cell>
          <cell r="F428">
            <v>1.00567370692681E-2</v>
          </cell>
          <cell r="G428">
            <v>0.167806664244225</v>
          </cell>
          <cell r="H428">
            <v>0.22375907642572901</v>
          </cell>
          <cell r="I428">
            <v>0.26021156328487199</v>
          </cell>
          <cell r="J428"/>
          <cell r="K428"/>
        </row>
        <row r="429">
          <cell r="A429" t="str">
            <v>SCOM-SHSTG-ELCHP</v>
          </cell>
          <cell r="B429" t="str">
            <v>VAR_cap</v>
          </cell>
          <cell r="C429" t="str">
            <v>-</v>
          </cell>
          <cell r="D429">
            <v>1.21996563358205E-2</v>
          </cell>
          <cell r="E429">
            <v>0.10132218514476446</v>
          </cell>
          <cell r="F429">
            <v>0.11134314945926624</v>
          </cell>
          <cell r="G429">
            <v>0.27911084531937308</v>
          </cell>
          <cell r="H429">
            <v>0.48582499618777197</v>
          </cell>
          <cell r="I429">
            <v>0.4841927018616346</v>
          </cell>
          <cell r="K429"/>
        </row>
        <row r="430">
          <cell r="A430" t="str">
            <v>RHEM-SHLFOBR</v>
          </cell>
          <cell r="B430" t="str">
            <v>VAR_fout</v>
          </cell>
          <cell r="C430" t="str">
            <v>CO2_R</v>
          </cell>
          <cell r="D430">
            <v>1928.7107298824801</v>
          </cell>
          <cell r="E430">
            <v>1569.6607654058801</v>
          </cell>
          <cell r="F430">
            <v>1654.7507234331199</v>
          </cell>
          <cell r="G430">
            <v>770.59815230535298</v>
          </cell>
          <cell r="H430">
            <v>105.679506288418</v>
          </cell>
          <cell r="I430">
            <v>6.7015959761963799</v>
          </cell>
          <cell r="K430"/>
        </row>
        <row r="431">
          <cell r="A431" t="str">
            <v>RHEM-SHLFOBR</v>
          </cell>
          <cell r="B431" t="str">
            <v>VAR_fout</v>
          </cell>
          <cell r="C431" t="str">
            <v>RHEM-SHLFO</v>
          </cell>
          <cell r="D431">
            <v>23.443736257617203</v>
          </cell>
          <cell r="E431">
            <v>19.079436033597037</v>
          </cell>
          <cell r="F431">
            <v>19.08126587447892</v>
          </cell>
          <cell r="G431">
            <v>9.0749464611508248</v>
          </cell>
          <cell r="H431">
            <v>1.2445343383437371</v>
          </cell>
          <cell r="I431">
            <v>7.8921321711328304E-2</v>
          </cell>
          <cell r="K431"/>
        </row>
        <row r="432">
          <cell r="A432" t="str">
            <v>RHEM-SHLFOBR</v>
          </cell>
          <cell r="B432" t="str">
            <v>VAR_fin</v>
          </cell>
          <cell r="C432" t="str">
            <v>RLFO</v>
          </cell>
          <cell r="D432">
            <v>26.169752101526168</v>
          </cell>
          <cell r="E432">
            <v>21.297975107271071</v>
          </cell>
          <cell r="F432">
            <v>22.452519992308307</v>
          </cell>
          <cell r="G432">
            <v>10.455877236164905</v>
          </cell>
          <cell r="H432">
            <v>1.4339146036420416</v>
          </cell>
          <cell r="I432">
            <v>9.0930745945676766E-2</v>
          </cell>
          <cell r="K432"/>
        </row>
        <row r="433">
          <cell r="A433" t="str">
            <v>RHEM-SHLFOBR</v>
          </cell>
          <cell r="B433" t="str">
            <v>VAR_ncap</v>
          </cell>
          <cell r="C433" t="str">
            <v>-</v>
          </cell>
          <cell r="E433">
            <v>4.09297235503244E-7</v>
          </cell>
          <cell r="F433">
            <v>4.6021523245007502E-7</v>
          </cell>
          <cell r="G433">
            <v>5.1295793157405304E-7</v>
          </cell>
          <cell r="H433">
            <v>6.34513127732311E-2</v>
          </cell>
          <cell r="I433">
            <v>1.57569579103125E-7</v>
          </cell>
          <cell r="K433"/>
        </row>
        <row r="434">
          <cell r="A434" t="str">
            <v>RHEM-SHLFOBR</v>
          </cell>
          <cell r="B434" t="str">
            <v>VAR_cap</v>
          </cell>
          <cell r="C434" t="str">
            <v>-</v>
          </cell>
          <cell r="D434">
            <v>1.65587464377338</v>
          </cell>
          <cell r="E434">
            <v>1.4339252449061735</v>
          </cell>
          <cell r="F434">
            <v>1.406503574107467</v>
          </cell>
          <cell r="G434">
            <v>1.4060526422475346</v>
          </cell>
          <cell r="H434">
            <v>8.791074797038749E-2</v>
          </cell>
          <cell r="I434">
            <v>8.7752506976254002E-3</v>
          </cell>
          <cell r="K434"/>
        </row>
        <row r="435">
          <cell r="A435" t="str">
            <v>RHES-SHNGAHP</v>
          </cell>
          <cell r="B435" t="str">
            <v>VAR_fout</v>
          </cell>
          <cell r="C435" t="str">
            <v>RHES-SHANGAH</v>
          </cell>
          <cell r="F435">
            <v>1.5303962735548462</v>
          </cell>
          <cell r="G435">
            <v>1.5504179538586109</v>
          </cell>
          <cell r="H435">
            <v>1.3929764889371241</v>
          </cell>
          <cell r="I435">
            <v>1.0507892516024622</v>
          </cell>
          <cell r="J435"/>
          <cell r="K435"/>
        </row>
        <row r="436">
          <cell r="A436" t="str">
            <v>RHES-SHNGAHP</v>
          </cell>
          <cell r="B436" t="str">
            <v>VAR_fout</v>
          </cell>
          <cell r="C436" t="str">
            <v>CO2_R</v>
          </cell>
          <cell r="F436">
            <v>48.192949344455002</v>
          </cell>
          <cell r="G436">
            <v>47.117413514625802</v>
          </cell>
          <cell r="H436">
            <v>39.141876225536699</v>
          </cell>
          <cell r="I436">
            <v>27.664883373449801</v>
          </cell>
          <cell r="J436"/>
          <cell r="K436"/>
        </row>
        <row r="437">
          <cell r="A437" t="str">
            <v>RHES-SHNGAHP</v>
          </cell>
          <cell r="B437" t="str">
            <v>VAR_fin</v>
          </cell>
          <cell r="C437" t="str">
            <v>RHESELCHPC</v>
          </cell>
          <cell r="F437">
            <v>1.5303962735548462</v>
          </cell>
          <cell r="G437">
            <v>1.5504179538586109</v>
          </cell>
          <cell r="H437">
            <v>1.3929764889371241</v>
          </cell>
          <cell r="I437">
            <v>1.0507892516024622</v>
          </cell>
          <cell r="J437"/>
          <cell r="K437"/>
        </row>
        <row r="438">
          <cell r="A438" t="str">
            <v>RHES-SHNGAHP</v>
          </cell>
          <cell r="B438" t="str">
            <v>VAR_fin</v>
          </cell>
          <cell r="C438" t="str">
            <v>RNGA</v>
          </cell>
          <cell r="F438">
            <v>0.8544849174548752</v>
          </cell>
          <cell r="G438">
            <v>0.83541513323804739</v>
          </cell>
          <cell r="H438">
            <v>0.69400489761589845</v>
          </cell>
          <cell r="I438">
            <v>0.49051211655052962</v>
          </cell>
          <cell r="J438"/>
          <cell r="K438"/>
        </row>
        <row r="439">
          <cell r="A439" t="str">
            <v>RHES-SHNGAHP</v>
          </cell>
          <cell r="B439" t="str">
            <v>VAR_ncap</v>
          </cell>
          <cell r="C439" t="str">
            <v>-</v>
          </cell>
          <cell r="E439">
            <v>1.0517239990272001E-6</v>
          </cell>
          <cell r="F439">
            <v>0.123658965091255</v>
          </cell>
          <cell r="G439">
            <v>1.6022388321126301E-3</v>
          </cell>
          <cell r="H439">
            <v>8.9559166846086405E-2</v>
          </cell>
          <cell r="I439">
            <v>2.0037459323666101E-2</v>
          </cell>
          <cell r="K439"/>
        </row>
        <row r="440">
          <cell r="A440" t="str">
            <v>RHES-SHNGAHP</v>
          </cell>
          <cell r="B440" t="str">
            <v>VAR_cap</v>
          </cell>
          <cell r="C440" t="str">
            <v>-</v>
          </cell>
          <cell r="E440">
            <v>1.0517239990272001E-6</v>
          </cell>
          <cell r="F440">
            <v>0.1236599287365278</v>
          </cell>
          <cell r="G440">
            <v>0.12526213143882675</v>
          </cell>
          <cell r="H440">
            <v>0.11255655936068661</v>
          </cell>
          <cell r="I440">
            <v>8.5033744419134832E-2</v>
          </cell>
        </row>
        <row r="441">
          <cell r="A441" t="str">
            <v>D-RHES_LTH_CHPWOD</v>
          </cell>
          <cell r="B441" t="str">
            <v>VAR_fout</v>
          </cell>
          <cell r="C441" t="str">
            <v>RHES_LTH_CHPWOD_ON</v>
          </cell>
          <cell r="D441">
            <v>5.7495955457286332E-6</v>
          </cell>
          <cell r="E441">
            <v>7.2104138074686856E-6</v>
          </cell>
          <cell r="F441">
            <v>2.5193652113733498E-6</v>
          </cell>
          <cell r="G441">
            <v>1.6419297722102989E-4</v>
          </cell>
        </row>
        <row r="442">
          <cell r="A442" t="str">
            <v>D-RHES_LTH_CHPWOD</v>
          </cell>
          <cell r="B442" t="str">
            <v>VAR_fout</v>
          </cell>
          <cell r="C442" t="str">
            <v>RHSA_LTH</v>
          </cell>
          <cell r="D442">
            <v>1.120535096274542E-5</v>
          </cell>
          <cell r="E442">
            <v>1.4077621302809169E-5</v>
          </cell>
          <cell r="F442">
            <v>5.8555344101848473E-6</v>
          </cell>
          <cell r="G442">
            <v>1.4176619779000907E-3</v>
          </cell>
          <cell r="H442">
            <v>1.2039732896812021E-3</v>
          </cell>
          <cell r="I442">
            <v>7.4883587100697412E-4</v>
          </cell>
          <cell r="K442"/>
        </row>
        <row r="443">
          <cell r="A443" t="str">
            <v>D-RHES_LTH_CHPWOD</v>
          </cell>
          <cell r="B443" t="str">
            <v>VAR_fout</v>
          </cell>
          <cell r="C443" t="str">
            <v>LTH</v>
          </cell>
          <cell r="G443">
            <v>2.153084159724324E-7</v>
          </cell>
          <cell r="H443">
            <v>1.9742484312875642E-7</v>
          </cell>
          <cell r="I443">
            <v>1.3215113042123679E-7</v>
          </cell>
          <cell r="J443"/>
          <cell r="K443"/>
        </row>
        <row r="444">
          <cell r="A444" t="str">
            <v>D-RHES_LTH_CHPWOD</v>
          </cell>
          <cell r="B444" t="str">
            <v>VAR_fin</v>
          </cell>
          <cell r="C444" t="str">
            <v>RHES_LTH_CHPWOD</v>
          </cell>
          <cell r="D444">
            <v>1.6954946508474046E-5</v>
          </cell>
          <cell r="E444">
            <v>2.1690348073975039E-5</v>
          </cell>
          <cell r="F444">
            <v>8.9118057001646614E-6</v>
          </cell>
          <cell r="G444">
            <v>1.5828872043886287E-3</v>
          </cell>
          <cell r="H444">
            <v>1.2056454964805251E-3</v>
          </cell>
          <cell r="I444">
            <v>7.503396214982366E-4</v>
          </cell>
        </row>
        <row r="445">
          <cell r="A445" t="str">
            <v>ITOT-SWHCONBR</v>
          </cell>
          <cell r="B445" t="str">
            <v>VAR_fout</v>
          </cell>
          <cell r="C445" t="str">
            <v>ITOT-SWHC</v>
          </cell>
          <cell r="F445">
            <v>2.8772993341283521E-5</v>
          </cell>
          <cell r="G445">
            <v>2.9383532419412496E-5</v>
          </cell>
          <cell r="H445">
            <v>5.5068361042311975E-5</v>
          </cell>
          <cell r="I445">
            <v>5.3151985724237044E-5</v>
          </cell>
        </row>
        <row r="446">
          <cell r="A446" t="str">
            <v>ITOT-SWHCONBR</v>
          </cell>
          <cell r="B446" t="str">
            <v>VAR_fin</v>
          </cell>
          <cell r="C446" t="str">
            <v>CON</v>
          </cell>
          <cell r="F446">
            <v>2.8772993341283521E-5</v>
          </cell>
          <cell r="G446">
            <v>2.9383532419412496E-5</v>
          </cell>
          <cell r="H446">
            <v>5.5068361042311975E-5</v>
          </cell>
          <cell r="I446">
            <v>5.3151985724237044E-5</v>
          </cell>
          <cell r="J446"/>
          <cell r="K446"/>
        </row>
        <row r="447">
          <cell r="A447" t="str">
            <v>ITOT-SWHCONBR</v>
          </cell>
          <cell r="B447" t="str">
            <v>VAR_ncap</v>
          </cell>
          <cell r="C447" t="str">
            <v>-</v>
          </cell>
          <cell r="E447">
            <v>1.03605620376494E-8</v>
          </cell>
          <cell r="F447">
            <v>1.18838820744756E-6</v>
          </cell>
          <cell r="G447">
            <v>6.2582271623182602E-8</v>
          </cell>
          <cell r="H447">
            <v>6.8316630142170202E-8</v>
          </cell>
          <cell r="I447">
            <v>2.5602581171742001E-7</v>
          </cell>
        </row>
        <row r="448">
          <cell r="A448" t="str">
            <v>ITOT-SWHCONBR</v>
          </cell>
          <cell r="B448" t="str">
            <v>VAR_cap</v>
          </cell>
          <cell r="C448" t="str">
            <v>-</v>
          </cell>
          <cell r="E448">
            <v>1.03605620376494E-8</v>
          </cell>
          <cell r="F448">
            <v>1.19874876948521E-6</v>
          </cell>
          <cell r="G448">
            <v>1.2613310411083901E-6</v>
          </cell>
          <cell r="H448">
            <v>2.1827524004561342E-6</v>
          </cell>
          <cell r="I448">
            <v>2.4939210208222199E-6</v>
          </cell>
        </row>
        <row r="449">
          <cell r="A449" t="str">
            <v>ITOT-SWHSOLBR</v>
          </cell>
          <cell r="B449" t="str">
            <v>VAR_fout</v>
          </cell>
          <cell r="C449" t="str">
            <v>ITOT-SWHASOL</v>
          </cell>
          <cell r="D449">
            <v>6.7640643251916405E-2</v>
          </cell>
          <cell r="E449">
            <v>8.5494204607906327E-2</v>
          </cell>
          <cell r="F449">
            <v>0.49031735934779053</v>
          </cell>
          <cell r="G449">
            <v>0.70116803894032886</v>
          </cell>
          <cell r="H449">
            <v>0.66197340303715124</v>
          </cell>
          <cell r="I449">
            <v>0.43885864913992634</v>
          </cell>
        </row>
        <row r="450">
          <cell r="A450" t="str">
            <v>ITOT-SWHSOLBR</v>
          </cell>
          <cell r="B450" t="str">
            <v>VAR_fin</v>
          </cell>
          <cell r="C450" t="str">
            <v>SOL</v>
          </cell>
          <cell r="D450">
            <v>6.7640643251916405E-2</v>
          </cell>
          <cell r="E450">
            <v>8.5494204607906327E-2</v>
          </cell>
          <cell r="F450">
            <v>0.49031735934779053</v>
          </cell>
          <cell r="G450">
            <v>0.70116803894032886</v>
          </cell>
          <cell r="H450">
            <v>0.66197340303715124</v>
          </cell>
          <cell r="I450">
            <v>0.43885864913992634</v>
          </cell>
        </row>
        <row r="451">
          <cell r="A451" t="str">
            <v>ITOT-SWHSOLBR</v>
          </cell>
          <cell r="B451" t="str">
            <v>VAR_ncap</v>
          </cell>
          <cell r="C451" t="str">
            <v>-</v>
          </cell>
          <cell r="E451">
            <v>9.2057268725395797E-2</v>
          </cell>
          <cell r="F451">
            <v>7.6866254519847006E-8</v>
          </cell>
          <cell r="G451">
            <v>4.3726085859043199E-6</v>
          </cell>
          <cell r="H451">
            <v>4.9713025317719498E-2</v>
          </cell>
          <cell r="I451">
            <v>4.3737339309330402E-2</v>
          </cell>
        </row>
        <row r="452">
          <cell r="A452" t="str">
            <v>ITOT-SWHSOLBR</v>
          </cell>
          <cell r="B452" t="str">
            <v>VAR_cap</v>
          </cell>
          <cell r="C452" t="str">
            <v>-</v>
          </cell>
          <cell r="D452">
            <v>9.8214799778629808E-3</v>
          </cell>
          <cell r="E452">
            <v>0.10187874870325878</v>
          </cell>
          <cell r="F452">
            <v>0.10187882556951328</v>
          </cell>
          <cell r="G452">
            <v>0.10188319817809918</v>
          </cell>
          <cell r="H452">
            <v>0.10188221547117</v>
          </cell>
          <cell r="I452">
            <v>0.101881767751885</v>
          </cell>
        </row>
        <row r="453">
          <cell r="A453" t="str">
            <v>SCOM-SHNGAHP</v>
          </cell>
          <cell r="B453" t="str">
            <v>VAR_fout</v>
          </cell>
          <cell r="C453" t="str">
            <v>SCOM-SHANGAH</v>
          </cell>
          <cell r="F453">
            <v>2.1272004794909001</v>
          </cell>
          <cell r="G453">
            <v>4.3108506984651882</v>
          </cell>
          <cell r="H453">
            <v>6.5792209745052297</v>
          </cell>
          <cell r="I453">
            <v>5.479751677438462</v>
          </cell>
        </row>
        <row r="454">
          <cell r="A454" t="str">
            <v>SCOM-SHNGAHP</v>
          </cell>
          <cell r="B454" t="str">
            <v>VAR_fout</v>
          </cell>
          <cell r="C454" t="str">
            <v>CO2_S</v>
          </cell>
          <cell r="F454">
            <v>61.872602757601101</v>
          </cell>
          <cell r="G454">
            <v>117.63541009437</v>
          </cell>
          <cell r="H454">
            <v>168.276806579256</v>
          </cell>
          <cell r="I454">
            <v>128.456008222436</v>
          </cell>
        </row>
        <row r="455">
          <cell r="A455" t="str">
            <v>SCOM-SHNGAHP</v>
          </cell>
          <cell r="B455" t="str">
            <v>VAR_fin</v>
          </cell>
          <cell r="C455" t="str">
            <v>SCOMELCHPC</v>
          </cell>
          <cell r="F455">
            <v>2.1272004794909001</v>
          </cell>
          <cell r="G455">
            <v>4.3108506984651882</v>
          </cell>
          <cell r="H455">
            <v>6.5792209745052297</v>
          </cell>
          <cell r="I455">
            <v>5.479751677438462</v>
          </cell>
        </row>
        <row r="456">
          <cell r="A456" t="str">
            <v>SCOM-SHNGAHP</v>
          </cell>
          <cell r="B456" t="str">
            <v>VAR_fin</v>
          </cell>
          <cell r="C456" t="str">
            <v>SNGA</v>
          </cell>
          <cell r="F456">
            <v>1.0970319637872541</v>
          </cell>
          <cell r="G456">
            <v>2.0857342215313874</v>
          </cell>
          <cell r="H456">
            <v>2.9836313223272439</v>
          </cell>
          <cell r="I456">
            <v>2.2775887982701426</v>
          </cell>
        </row>
        <row r="457">
          <cell r="A457" t="str">
            <v>SCOM-SHNGAHP</v>
          </cell>
          <cell r="B457" t="str">
            <v>VAR_ncap</v>
          </cell>
          <cell r="C457" t="str">
            <v>-</v>
          </cell>
          <cell r="D457">
            <v>6.1232350048251503E-7</v>
          </cell>
          <cell r="E457">
            <v>6.6494610592832796E-5</v>
          </cell>
          <cell r="F457">
            <v>0.16444031202426401</v>
          </cell>
          <cell r="G457">
            <v>0.16890755023482501</v>
          </cell>
          <cell r="H457">
            <v>0.27613126573385699</v>
          </cell>
          <cell r="I457">
            <v>0.191901409859075</v>
          </cell>
        </row>
        <row r="458">
          <cell r="A458" t="str">
            <v>SCOM-SHNGAHP</v>
          </cell>
          <cell r="B458" t="str">
            <v>VAR_cap</v>
          </cell>
          <cell r="C458" t="str">
            <v>-</v>
          </cell>
          <cell r="D458">
            <v>6.1232350048251503E-7</v>
          </cell>
          <cell r="E458">
            <v>6.689756432003705E-5</v>
          </cell>
          <cell r="F458">
            <v>0.16450704924891596</v>
          </cell>
          <cell r="G458">
            <v>0.33341449519423311</v>
          </cell>
          <cell r="H458">
            <v>0.5112720463824405</v>
          </cell>
          <cell r="I458">
            <v>0.43064498397198619</v>
          </cell>
        </row>
        <row r="459">
          <cell r="A459" t="str">
            <v>RHNS-SHNGABR</v>
          </cell>
          <cell r="B459" t="str">
            <v>VAR_fout</v>
          </cell>
          <cell r="C459" t="str">
            <v>CO2_R</v>
          </cell>
          <cell r="E459">
            <v>6.0646739768914699</v>
          </cell>
          <cell r="F459">
            <v>0.99571629985199195</v>
          </cell>
          <cell r="G459">
            <v>1.47429953340275</v>
          </cell>
          <cell r="H459">
            <v>1.8794711253057199</v>
          </cell>
          <cell r="I459">
            <v>1.52942059908752</v>
          </cell>
        </row>
        <row r="460">
          <cell r="A460" t="str">
            <v>RHNS-SHNGABR</v>
          </cell>
          <cell r="B460" t="str">
            <v>VAR_fout</v>
          </cell>
          <cell r="C460" t="str">
            <v>RHNS-SHNGA</v>
          </cell>
          <cell r="E460">
            <v>0.10215319641927119</v>
          </cell>
          <cell r="F460">
            <v>1.6946875300592208E-2</v>
          </cell>
          <cell r="G460">
            <v>2.5092258057853929E-2</v>
          </cell>
          <cell r="H460">
            <v>3.1988190608463724E-2</v>
          </cell>
          <cell r="I460">
            <v>2.6030406631633928E-2</v>
          </cell>
        </row>
        <row r="461">
          <cell r="A461" t="str">
            <v>RHNS-SHNGABR</v>
          </cell>
          <cell r="B461" t="str">
            <v>VAR_fin</v>
          </cell>
          <cell r="C461" t="str">
            <v>RNGA</v>
          </cell>
          <cell r="E461">
            <v>0.10752968044133809</v>
          </cell>
          <cell r="F461">
            <v>1.7654544323616895E-2</v>
          </cell>
          <cell r="G461">
            <v>2.6140062648984896E-2</v>
          </cell>
          <cell r="H461">
            <v>3.3323956122441822E-2</v>
          </cell>
          <cell r="I461">
            <v>2.7117386508644016E-2</v>
          </cell>
        </row>
        <row r="462">
          <cell r="A462" t="str">
            <v>RHNS-SHNGABR</v>
          </cell>
          <cell r="B462" t="str">
            <v>VAR_ncap</v>
          </cell>
          <cell r="C462" t="str">
            <v>-</v>
          </cell>
          <cell r="E462">
            <v>7.4931662129181396E-3</v>
          </cell>
          <cell r="F462">
            <v>7.4405153850581797E-7</v>
          </cell>
          <cell r="G462">
            <v>6.3467619127477999E-7</v>
          </cell>
          <cell r="H462">
            <v>2.3882877319038498E-3</v>
          </cell>
          <cell r="I462">
            <v>2.04267568370189E-4</v>
          </cell>
        </row>
        <row r="463">
          <cell r="A463" t="str">
            <v>RHNS-SHNGABR</v>
          </cell>
          <cell r="B463" t="str">
            <v>VAR_cap</v>
          </cell>
          <cell r="C463" t="str">
            <v>-</v>
          </cell>
          <cell r="E463">
            <v>7.4931662129181396E-3</v>
          </cell>
          <cell r="F463">
            <v>5.7339482067157495E-3</v>
          </cell>
          <cell r="G463">
            <v>5.5702895738944701E-3</v>
          </cell>
          <cell r="H463">
            <v>2.3932565111726323E-3</v>
          </cell>
          <cell r="I463">
            <v>1.9392478749476263E-3</v>
          </cell>
        </row>
        <row r="464">
          <cell r="A464" t="str">
            <v>D-RHNM_LTH_CHPNGA</v>
          </cell>
          <cell r="B464" t="str">
            <v>VAR_fout</v>
          </cell>
          <cell r="C464" t="str">
            <v>RHSA_LTH</v>
          </cell>
          <cell r="D464">
            <v>1.0102243433948905E-5</v>
          </cell>
          <cell r="E464">
            <v>1.088868726508722E-4</v>
          </cell>
          <cell r="F464">
            <v>4.2610655964961733E-3</v>
          </cell>
          <cell r="G464">
            <v>1.7570029360465399E-3</v>
          </cell>
          <cell r="H464">
            <v>1.49001405223651</v>
          </cell>
          <cell r="I464">
            <v>0.98348069902051061</v>
          </cell>
        </row>
        <row r="465">
          <cell r="A465" t="str">
            <v>D-RHNM_LTH_CHPNGA</v>
          </cell>
          <cell r="B465" t="str">
            <v>VAR_fout</v>
          </cell>
          <cell r="C465" t="str">
            <v>LTH</v>
          </cell>
          <cell r="F465">
            <v>4.8051354385828652E-7</v>
          </cell>
          <cell r="H465">
            <v>3.1657393717651524E-3</v>
          </cell>
          <cell r="I465">
            <v>1.770058102653392E-3</v>
          </cell>
        </row>
        <row r="466">
          <cell r="A466" t="str">
            <v>D-RHNM_LTH_CHPNGA</v>
          </cell>
          <cell r="B466" t="str">
            <v>VAR_fout</v>
          </cell>
          <cell r="C466" t="str">
            <v>RHNM_LTH_CHPNGA_ON</v>
          </cell>
          <cell r="D466">
            <v>1.084790555946389E-5</v>
          </cell>
          <cell r="E466">
            <v>2.6004524707396058E-3</v>
          </cell>
          <cell r="F466">
            <v>5.5764970399084578E-4</v>
          </cell>
          <cell r="G466">
            <v>6.7979830714264803E-6</v>
          </cell>
        </row>
        <row r="467">
          <cell r="A467" t="str">
            <v>D-RHNM_LTH_CHPNGA</v>
          </cell>
          <cell r="B467" t="str">
            <v>VAR_fin</v>
          </cell>
          <cell r="C467" t="str">
            <v>RHNM_LTH_CHPNGA</v>
          </cell>
          <cell r="D467">
            <v>2.0950148993412793E-5</v>
          </cell>
          <cell r="E467">
            <v>2.7098242207910374E-3</v>
          </cell>
          <cell r="F467">
            <v>4.8203110566388792E-3</v>
          </cell>
          <cell r="G467">
            <v>1.764991849867158E-3</v>
          </cell>
          <cell r="H467">
            <v>1.4931797916082763</v>
          </cell>
          <cell r="I467">
            <v>0.98525077431715624</v>
          </cell>
        </row>
        <row r="468">
          <cell r="A468" t="str">
            <v>RHNM-SHELCHP</v>
          </cell>
          <cell r="B468" t="str">
            <v>VAR_fout</v>
          </cell>
          <cell r="C468" t="str">
            <v>RHNM-SHAELCH</v>
          </cell>
          <cell r="E468">
            <v>2.6599089922663848E-4</v>
          </cell>
          <cell r="F468">
            <v>0.88656560889015612</v>
          </cell>
          <cell r="G468">
            <v>1.5516769643936974</v>
          </cell>
          <cell r="H468">
            <v>2.4095808031571755</v>
          </cell>
          <cell r="I468">
            <v>2.9425618737948325</v>
          </cell>
        </row>
        <row r="469">
          <cell r="A469" t="str">
            <v>RHNM-SHELCHP</v>
          </cell>
          <cell r="B469" t="str">
            <v>VAR_fin</v>
          </cell>
          <cell r="C469" t="str">
            <v>RHNM_ELC</v>
          </cell>
          <cell r="E469">
            <v>8.1759497713106271E-5</v>
          </cell>
          <cell r="F469">
            <v>0.25767106648515697</v>
          </cell>
          <cell r="G469">
            <v>0.42429093805231771</v>
          </cell>
          <cell r="H469">
            <v>0.61140857555279882</v>
          </cell>
          <cell r="I469">
            <v>0.68561904396672291</v>
          </cell>
        </row>
        <row r="470">
          <cell r="A470" t="str">
            <v>RHNM-SHELCHP</v>
          </cell>
          <cell r="B470" t="str">
            <v>VAR_fin</v>
          </cell>
          <cell r="C470" t="str">
            <v>RHNMELCHPC</v>
          </cell>
          <cell r="E470">
            <v>2.6599089922663848E-4</v>
          </cell>
          <cell r="F470">
            <v>0.88656560889015612</v>
          </cell>
          <cell r="G470">
            <v>1.5516769643936974</v>
          </cell>
          <cell r="H470">
            <v>2.4095808031571755</v>
          </cell>
          <cell r="I470">
            <v>2.9425618737948325</v>
          </cell>
        </row>
        <row r="471">
          <cell r="A471" t="str">
            <v>RHNM-SHELCHP</v>
          </cell>
          <cell r="B471" t="str">
            <v>VAR_ncap</v>
          </cell>
          <cell r="C471" t="str">
            <v>-</v>
          </cell>
          <cell r="E471">
            <v>3.4114245566150398E-4</v>
          </cell>
          <cell r="F471">
            <v>6.8612782648815304E-2</v>
          </cell>
          <cell r="G471">
            <v>5.2194299085231502E-2</v>
          </cell>
          <cell r="H471">
            <v>0.10418741393231599</v>
          </cell>
          <cell r="I471">
            <v>0.138716303422178</v>
          </cell>
        </row>
        <row r="472">
          <cell r="A472" t="str">
            <v>RHNM-SHELCHP</v>
          </cell>
          <cell r="B472" t="str">
            <v>VAR_cap</v>
          </cell>
          <cell r="C472" t="str">
            <v>-</v>
          </cell>
          <cell r="E472">
            <v>3.4114245566150398E-4</v>
          </cell>
          <cell r="F472">
            <v>6.8953685386136165E-2</v>
          </cell>
          <cell r="G472">
            <v>0.12114772625480563</v>
          </cell>
          <cell r="H472">
            <v>0.1871402735679534</v>
          </cell>
          <cell r="I472">
            <v>0.22919764800955716</v>
          </cell>
        </row>
        <row r="473">
          <cell r="A473" t="str">
            <v>D-IH2R</v>
          </cell>
          <cell r="B473" t="str">
            <v>VAR_fout</v>
          </cell>
          <cell r="C473" t="str">
            <v>IH2</v>
          </cell>
          <cell r="G473">
            <v>12.779576813708168</v>
          </cell>
          <cell r="H473">
            <v>9.7256892242814352</v>
          </cell>
          <cell r="I473">
            <v>7.1255307252463407</v>
          </cell>
        </row>
        <row r="474">
          <cell r="A474" t="str">
            <v>D-IH2R</v>
          </cell>
          <cell r="B474" t="str">
            <v>VAR_fin</v>
          </cell>
          <cell r="C474" t="str">
            <v>H2</v>
          </cell>
          <cell r="G474">
            <v>12.779576813708168</v>
          </cell>
          <cell r="H474">
            <v>9.7256892242814352</v>
          </cell>
          <cell r="I474">
            <v>7.1255307252463407</v>
          </cell>
        </row>
        <row r="475">
          <cell r="A475" t="str">
            <v>D-IH2R</v>
          </cell>
          <cell r="B475" t="str">
            <v>VAR_ncap</v>
          </cell>
          <cell r="C475" t="str">
            <v>-</v>
          </cell>
          <cell r="G475">
            <v>0.47354817119074699</v>
          </cell>
          <cell r="H475">
            <v>0.35512261557584601</v>
          </cell>
          <cell r="I475">
            <v>0.12941960902125799</v>
          </cell>
        </row>
        <row r="476">
          <cell r="A476" t="str">
            <v>D-IH2R</v>
          </cell>
          <cell r="B476" t="str">
            <v>VAR_cap</v>
          </cell>
          <cell r="C476" t="str">
            <v>-</v>
          </cell>
          <cell r="G476">
            <v>0.47354817119074699</v>
          </cell>
          <cell r="H476">
            <v>0.37649068847679401</v>
          </cell>
          <cell r="I476">
            <v>0.251056650055409</v>
          </cell>
        </row>
        <row r="477">
          <cell r="A477" t="str">
            <v>RHEM-SHSTG-ELC</v>
          </cell>
          <cell r="B477" t="str">
            <v>VAR_fout</v>
          </cell>
          <cell r="C477" t="str">
            <v>RHEM-SHAELCB</v>
          </cell>
          <cell r="D477">
            <v>9.594397388872601E-8</v>
          </cell>
          <cell r="E477">
            <v>0.439900517522192</v>
          </cell>
          <cell r="F477">
            <v>8.1532394574862742E-3</v>
          </cell>
          <cell r="G477">
            <v>1.2107231959422808E-3</v>
          </cell>
          <cell r="H477">
            <v>2.2376110270624743E-4</v>
          </cell>
          <cell r="I477">
            <v>1.4063599599099558E-4</v>
          </cell>
        </row>
        <row r="478">
          <cell r="A478" t="str">
            <v>RHEM-SHSTG-ELC</v>
          </cell>
          <cell r="B478" t="str">
            <v>VAR_fin</v>
          </cell>
          <cell r="C478" t="str">
            <v>RHEM-SHAELCB</v>
          </cell>
          <cell r="D478">
            <v>1.8784267996446192E-6</v>
          </cell>
          <cell r="E478">
            <v>0.4399189247457459</v>
          </cell>
          <cell r="F478">
            <v>8.1514473563855244E-3</v>
          </cell>
          <cell r="G478">
            <v>1.2089162734139516E-3</v>
          </cell>
          <cell r="H478">
            <v>2.240518745718656E-4</v>
          </cell>
          <cell r="I478">
            <v>1.4026829820427679E-4</v>
          </cell>
        </row>
        <row r="479">
          <cell r="A479" t="str">
            <v>RHEM-SHSTG-ELC</v>
          </cell>
          <cell r="B479" t="str">
            <v>VAR_ncap</v>
          </cell>
          <cell r="C479" t="str">
            <v>-</v>
          </cell>
          <cell r="D479">
            <v>1.23461898417217E-2</v>
          </cell>
          <cell r="E479">
            <v>3.2543665405269498E-2</v>
          </cell>
          <cell r="F479">
            <v>1.8497788892698101E-5</v>
          </cell>
          <cell r="G479">
            <v>1.7211363528908001E-5</v>
          </cell>
          <cell r="H479">
            <v>3.3901100753159599E-5</v>
          </cell>
          <cell r="I479">
            <v>1.6055581685269001E-5</v>
          </cell>
        </row>
        <row r="480">
          <cell r="A480" t="str">
            <v>RHEM-SHSTG-ELC</v>
          </cell>
          <cell r="B480" t="str">
            <v>VAR_cap</v>
          </cell>
          <cell r="C480" t="str">
            <v>-</v>
          </cell>
          <cell r="D480">
            <v>1.23461898417217E-2</v>
          </cell>
          <cell r="E480">
            <v>4.4856335536536035E-2</v>
          </cell>
          <cell r="F480">
            <v>9.8913749221269526E-4</v>
          </cell>
          <cell r="G480">
            <v>2.2593162694440477E-4</v>
          </cell>
          <cell r="H480">
            <v>5.4668996333336505E-5</v>
          </cell>
          <cell r="I480">
            <v>3.4072413352701495E-5</v>
          </cell>
        </row>
        <row r="481">
          <cell r="A481" t="str">
            <v>RHNM-SHLTHCHPWOD</v>
          </cell>
          <cell r="B481" t="str">
            <v>VAR_ncap</v>
          </cell>
          <cell r="C481" t="str">
            <v>-</v>
          </cell>
          <cell r="G481">
            <v>4.28514493714682E-4</v>
          </cell>
          <cell r="H481">
            <v>1.6598509876510301E-4</v>
          </cell>
          <cell r="I481">
            <v>7.7251224806060699E-5</v>
          </cell>
        </row>
        <row r="482">
          <cell r="A482" t="str">
            <v>RHNM-SHLTHCHPWOD</v>
          </cell>
          <cell r="B482" t="str">
            <v>VAR_cap</v>
          </cell>
          <cell r="C482" t="str">
            <v>-</v>
          </cell>
          <cell r="G482">
            <v>4.28514493714682E-4</v>
          </cell>
          <cell r="H482">
            <v>3.3210770427719494E-4</v>
          </cell>
          <cell r="I482">
            <v>1.3823862888848003E-4</v>
          </cell>
        </row>
        <row r="483">
          <cell r="A483" t="str">
            <v>ITOT-SWHDEM</v>
          </cell>
          <cell r="B483" t="str">
            <v>VAR_fout</v>
          </cell>
          <cell r="C483" t="str">
            <v>ITOT-SWHD</v>
          </cell>
          <cell r="D483">
            <v>72.708169056255471</v>
          </cell>
          <cell r="E483">
            <v>74.111154758224004</v>
          </cell>
          <cell r="F483">
            <v>75.692598758160898</v>
          </cell>
          <cell r="G483">
            <v>76.679221044440467</v>
          </cell>
          <cell r="H483">
            <v>77.235103262790986</v>
          </cell>
          <cell r="I483">
            <v>77.836443425572725</v>
          </cell>
        </row>
        <row r="484">
          <cell r="A484" t="str">
            <v>ITOT-SWHDEM</v>
          </cell>
          <cell r="B484" t="str">
            <v>VAR_fin</v>
          </cell>
          <cell r="C484" t="str">
            <v>ITOT-SWHNGAH</v>
          </cell>
          <cell r="F484">
            <v>3.8114444877878615E-3</v>
          </cell>
          <cell r="G484">
            <v>4.1523698408042027E-3</v>
          </cell>
          <cell r="H484">
            <v>4.2442269097692723E-3</v>
          </cell>
          <cell r="I484">
            <v>4.5839564973200906E-3</v>
          </cell>
        </row>
        <row r="485">
          <cell r="A485" t="str">
            <v>ITOT-SWHDEM</v>
          </cell>
          <cell r="B485" t="str">
            <v>VAR_fin</v>
          </cell>
          <cell r="C485" t="str">
            <v>ITOT-SWH</v>
          </cell>
          <cell r="D485">
            <v>61.718483218007457</v>
          </cell>
          <cell r="E485">
            <v>58.030953939091489</v>
          </cell>
          <cell r="F485">
            <v>54.77129467475288</v>
          </cell>
          <cell r="G485">
            <v>51.396791164779913</v>
          </cell>
          <cell r="H485">
            <v>48.61344502907049</v>
          </cell>
          <cell r="I485">
            <v>38.23679255438168</v>
          </cell>
        </row>
        <row r="486">
          <cell r="A486" t="str">
            <v>ITOT-SWHDEM</v>
          </cell>
          <cell r="B486" t="str">
            <v>VAR_fin</v>
          </cell>
          <cell r="C486" t="str">
            <v>ITOT-SWHELCH</v>
          </cell>
          <cell r="D486">
            <v>1.1081275654045448</v>
          </cell>
          <cell r="E486">
            <v>1.4007926678399218</v>
          </cell>
          <cell r="F486">
            <v>3.5671633531489708</v>
          </cell>
          <cell r="G486">
            <v>5.7734423114367042</v>
          </cell>
          <cell r="H486">
            <v>5.7732728817299117</v>
          </cell>
          <cell r="I486">
            <v>5.7697522572511684</v>
          </cell>
        </row>
        <row r="487">
          <cell r="A487" t="str">
            <v>ITOT-SWHDEM</v>
          </cell>
          <cell r="B487" t="str">
            <v>VAR_fin</v>
          </cell>
          <cell r="C487" t="str">
            <v>ITOT-SWHC</v>
          </cell>
          <cell r="E487">
            <v>4.258972309283112</v>
          </cell>
          <cell r="F487">
            <v>4.259265260925873</v>
          </cell>
          <cell r="G487">
            <v>6.2168712345074955</v>
          </cell>
          <cell r="H487">
            <v>9.6361586484721684</v>
          </cell>
          <cell r="I487">
            <v>20.882495739249961</v>
          </cell>
        </row>
        <row r="488">
          <cell r="A488" t="str">
            <v>ITOT-SWHDEM</v>
          </cell>
          <cell r="B488" t="str">
            <v>VAR_fin</v>
          </cell>
          <cell r="C488" t="str">
            <v>ITOT-SWHELC</v>
          </cell>
          <cell r="D488">
            <v>9.8139099364600462</v>
          </cell>
          <cell r="E488">
            <v>10.335085222782876</v>
          </cell>
          <cell r="F488">
            <v>12.60133257594039</v>
          </cell>
          <cell r="G488">
            <v>12.587863299322796</v>
          </cell>
          <cell r="H488">
            <v>12.546587687576698</v>
          </cell>
          <cell r="I488">
            <v>12.504433348192059</v>
          </cell>
        </row>
        <row r="489">
          <cell r="A489" t="str">
            <v>ITOT-SWHDEM</v>
          </cell>
          <cell r="B489" t="str">
            <v>VAR_fin</v>
          </cell>
          <cell r="C489" t="str">
            <v>ITOT-SWHSOL</v>
          </cell>
          <cell r="D489">
            <v>6.7648336383428986E-2</v>
          </cell>
          <cell r="E489">
            <v>8.5511186997555694E-2</v>
          </cell>
          <cell r="F489">
            <v>0.4899105183841721</v>
          </cell>
          <cell r="G489">
            <v>0.70025919123744662</v>
          </cell>
          <cell r="H489">
            <v>0.66157855358573148</v>
          </cell>
          <cell r="I489">
            <v>0.43864670274406165</v>
          </cell>
        </row>
        <row r="490">
          <cell r="A490" t="str">
            <v>D-RHNS_NKEV_GAS_ELC_CHP</v>
          </cell>
          <cell r="B490" t="str">
            <v>VAR_fout</v>
          </cell>
          <cell r="C490" t="str">
            <v>RHNS_ELC</v>
          </cell>
          <cell r="E490">
            <v>2.4362264125395747E-4</v>
          </cell>
          <cell r="F490">
            <v>4.9702325791519981E-4</v>
          </cell>
          <cell r="G490">
            <v>4.315361305755489E-4</v>
          </cell>
          <cell r="H490">
            <v>1.5516966106652063E-3</v>
          </cell>
          <cell r="I490">
            <v>1.0007723717106601E-3</v>
          </cell>
        </row>
        <row r="491">
          <cell r="A491" t="str">
            <v>D-RHNS_NKEV_GAS_ELC_CHP</v>
          </cell>
          <cell r="B491" t="str">
            <v>VAR_fout</v>
          </cell>
          <cell r="C491" t="str">
            <v>ELC5</v>
          </cell>
          <cell r="E491">
            <v>2.4359503966028383E-4</v>
          </cell>
          <cell r="F491">
            <v>4.9749067720794452E-4</v>
          </cell>
          <cell r="G491">
            <v>4.3186053820259821E-4</v>
          </cell>
          <cell r="H491">
            <v>1.5558615146715397E-3</v>
          </cell>
          <cell r="I491">
            <v>1.0018032661097142E-3</v>
          </cell>
        </row>
        <row r="492">
          <cell r="A492" t="str">
            <v>D-RHNS_NKEV_GAS_ELC_CHP</v>
          </cell>
          <cell r="B492" t="str">
            <v>VAR_fin</v>
          </cell>
          <cell r="C492" t="str">
            <v>RHNS_NKEV_GAS_ELC_CHP</v>
          </cell>
          <cell r="E492">
            <v>4.8721768091424173E-4</v>
          </cell>
          <cell r="F492">
            <v>9.8776443648461139E-4</v>
          </cell>
          <cell r="G492">
            <v>8.6339666877814668E-4</v>
          </cell>
          <cell r="H492">
            <v>3.1075581253367452E-3</v>
          </cell>
          <cell r="I492">
            <v>2.0025756378203746E-3</v>
          </cell>
        </row>
        <row r="493">
          <cell r="A493" t="str">
            <v>RHNM-SHSTG-NGAHP</v>
          </cell>
          <cell r="B493" t="str">
            <v>VAR_fout</v>
          </cell>
          <cell r="C493" t="str">
            <v>RHNM-SHANGAH</v>
          </cell>
          <cell r="F493">
            <v>1.8031922665491879E-2</v>
          </cell>
          <cell r="G493">
            <v>0.12501181311757509</v>
          </cell>
          <cell r="H493">
            <v>6.1852186251027647E-2</v>
          </cell>
          <cell r="I493">
            <v>9.3339151446296412E-2</v>
          </cell>
        </row>
        <row r="494">
          <cell r="A494" t="str">
            <v>RHNM-SHSTG-NGAHP</v>
          </cell>
          <cell r="B494" t="str">
            <v>VAR_fin</v>
          </cell>
          <cell r="C494" t="str">
            <v>RHNM-SHANGAH</v>
          </cell>
          <cell r="F494">
            <v>1.804258553532221E-2</v>
          </cell>
          <cell r="G494">
            <v>0.12502542413410855</v>
          </cell>
          <cell r="H494">
            <v>6.1864144900707081E-2</v>
          </cell>
          <cell r="I494">
            <v>9.3355304524634239E-2</v>
          </cell>
        </row>
        <row r="495">
          <cell r="A495" t="str">
            <v>RHNM-SHSTG-NGAHP</v>
          </cell>
          <cell r="B495" t="str">
            <v>VAR_ncap</v>
          </cell>
          <cell r="C495" t="str">
            <v>-</v>
          </cell>
          <cell r="D495">
            <v>2.1766938910010999E-5</v>
          </cell>
          <cell r="E495">
            <v>4.8582730541234699E-6</v>
          </cell>
          <cell r="F495">
            <v>4.6947021070586296E-3</v>
          </cell>
          <cell r="G495">
            <v>8.3397319788756103E-3</v>
          </cell>
          <cell r="H495">
            <v>9.9228845797839395E-3</v>
          </cell>
          <cell r="I495">
            <v>1.20301396548024E-2</v>
          </cell>
        </row>
        <row r="496">
          <cell r="A496" t="str">
            <v>RHNM-SHSTG-NGAHP</v>
          </cell>
          <cell r="B496" t="str">
            <v>VAR_cap</v>
          </cell>
          <cell r="C496" t="str">
            <v>-</v>
          </cell>
          <cell r="D496">
            <v>2.1766938910010999E-5</v>
          </cell>
          <cell r="E496">
            <v>5.7478242044109765E-7</v>
          </cell>
          <cell r="F496">
            <v>4.6915424684508961E-3</v>
          </cell>
          <cell r="G496">
            <v>1.3015390139113115E-2</v>
          </cell>
          <cell r="H496">
            <v>2.1082593410086167E-2</v>
          </cell>
          <cell r="I496">
            <v>2.1169936981003636E-2</v>
          </cell>
        </row>
        <row r="497">
          <cell r="A497" t="str">
            <v>D-IBIO</v>
          </cell>
          <cell r="B497" t="str">
            <v>VAR_fout</v>
          </cell>
          <cell r="C497" t="str">
            <v>IBIO</v>
          </cell>
          <cell r="D497">
            <v>0.43672772752918304</v>
          </cell>
          <cell r="E497">
            <v>0.55206570967543545</v>
          </cell>
          <cell r="F497">
            <v>3.2870546243717591</v>
          </cell>
          <cell r="G497">
            <v>3.2870587088070895</v>
          </cell>
          <cell r="H497">
            <v>7.6944180880994013</v>
          </cell>
          <cell r="I497">
            <v>7.6944478255217961</v>
          </cell>
        </row>
        <row r="498">
          <cell r="A498" t="str">
            <v>D-IBIO</v>
          </cell>
          <cell r="B498" t="str">
            <v>VAR_fin</v>
          </cell>
          <cell r="C498" t="str">
            <v>BIO</v>
          </cell>
          <cell r="D498">
            <v>0.43672772752918304</v>
          </cell>
          <cell r="E498">
            <v>0.55206570967543545</v>
          </cell>
          <cell r="F498">
            <v>3.2870546243717591</v>
          </cell>
          <cell r="G498">
            <v>3.2870587088070895</v>
          </cell>
          <cell r="H498">
            <v>7.6944180880994013</v>
          </cell>
          <cell r="I498">
            <v>7.6944478255217961</v>
          </cell>
        </row>
        <row r="499">
          <cell r="A499" t="str">
            <v>D-RHES_KEV_WOD_ELC_CHP</v>
          </cell>
          <cell r="B499" t="str">
            <v>VAR_fout</v>
          </cell>
          <cell r="C499" t="str">
            <v>RHES_ELC</v>
          </cell>
          <cell r="G499">
            <v>2.1273799127639946E-4</v>
          </cell>
          <cell r="H499">
            <v>3.3854155575464449E-4</v>
          </cell>
          <cell r="I499">
            <v>1.8354746828670956E-4</v>
          </cell>
        </row>
        <row r="500">
          <cell r="A500" t="str">
            <v>D-RHES_KEV_WOD_ELC_CHP</v>
          </cell>
          <cell r="B500" t="str">
            <v>VAR_fout</v>
          </cell>
          <cell r="C500" t="str">
            <v>ELC5</v>
          </cell>
          <cell r="G500">
            <v>4.2501096289303942E-4</v>
          </cell>
          <cell r="H500">
            <v>3.3866580154555929E-4</v>
          </cell>
          <cell r="I500">
            <v>1.8361024769366114E-4</v>
          </cell>
        </row>
        <row r="501">
          <cell r="A501" t="str">
            <v>D-RHES_KEV_WOD_ELC_CHP</v>
          </cell>
          <cell r="B501" t="str">
            <v>VAR_fin</v>
          </cell>
          <cell r="C501" t="str">
            <v>RHES_KEV_WOD_ELC_CHP</v>
          </cell>
          <cell r="G501">
            <v>6.3614291382539569E-4</v>
          </cell>
          <cell r="H501">
            <v>6.7199452093379825E-4</v>
          </cell>
          <cell r="I501">
            <v>3.6357415438539181E-4</v>
          </cell>
        </row>
        <row r="502">
          <cell r="A502" t="str">
            <v>RHNS-SHLFOBR</v>
          </cell>
          <cell r="B502" t="str">
            <v>VAR_fout</v>
          </cell>
          <cell r="C502" t="str">
            <v>CO2_R</v>
          </cell>
          <cell r="E502">
            <v>6.4473378757238303E-3</v>
          </cell>
          <cell r="F502">
            <v>2.7306127904109898</v>
          </cell>
          <cell r="G502">
            <v>3.0135998014264</v>
          </cell>
          <cell r="H502">
            <v>2.14936705604301</v>
          </cell>
        </row>
        <row r="503">
          <cell r="A503" t="str">
            <v>RHNS-SHLFOBR</v>
          </cell>
          <cell r="B503" t="str">
            <v>VAR_fout</v>
          </cell>
          <cell r="C503" t="str">
            <v>RHNS-SHLFO</v>
          </cell>
          <cell r="E503">
            <v>7.8368252107678937E-5</v>
          </cell>
          <cell r="F503">
            <v>3.5041259163386025E-2</v>
          </cell>
          <cell r="G503">
            <v>3.8690815177998321E-2</v>
          </cell>
          <cell r="H503">
            <v>2.7595158280696964E-2</v>
          </cell>
        </row>
        <row r="504">
          <cell r="A504" t="str">
            <v>RHNS-SHLFOBR</v>
          </cell>
          <cell r="B504" t="str">
            <v>VAR_fin</v>
          </cell>
          <cell r="C504" t="str">
            <v>RLFO</v>
          </cell>
          <cell r="E504">
            <v>8.7480839562060101E-5</v>
          </cell>
          <cell r="F504">
            <v>3.7050377074775917E-2</v>
          </cell>
          <cell r="G504">
            <v>4.0890092285297171E-2</v>
          </cell>
          <cell r="H504">
            <v>2.9163732103704387E-2</v>
          </cell>
        </row>
        <row r="505">
          <cell r="A505" t="str">
            <v>RHNS-SHLFOBR</v>
          </cell>
          <cell r="B505" t="str">
            <v>VAR_ncap</v>
          </cell>
          <cell r="C505" t="str">
            <v>-</v>
          </cell>
          <cell r="E505">
            <v>2.39609713573137E-5</v>
          </cell>
          <cell r="F505">
            <v>1.13680252650238E-2</v>
          </cell>
        </row>
        <row r="506">
          <cell r="A506" t="str">
            <v>RHNS-SHLFOBR</v>
          </cell>
          <cell r="B506" t="str">
            <v>VAR_cap</v>
          </cell>
          <cell r="C506" t="str">
            <v>-</v>
          </cell>
          <cell r="E506">
            <v>2.39609713573137E-5</v>
          </cell>
          <cell r="F506">
            <v>1.1386621742732472E-2</v>
          </cell>
          <cell r="G506">
            <v>1.1382240059345489E-2</v>
          </cell>
          <cell r="H506">
            <v>2.0135020708131435E-3</v>
          </cell>
        </row>
        <row r="507">
          <cell r="A507" t="str">
            <v>D-SNGA</v>
          </cell>
          <cell r="B507" t="str">
            <v>VAR_fout</v>
          </cell>
          <cell r="C507" t="str">
            <v>CO2</v>
          </cell>
          <cell r="D507">
            <v>1522.67381441783</v>
          </cell>
          <cell r="E507">
            <v>1524.51610823376</v>
          </cell>
          <cell r="F507">
            <v>1213.86016442851</v>
          </cell>
          <cell r="G507">
            <v>769.13981898190696</v>
          </cell>
          <cell r="H507">
            <v>297.196945143579</v>
          </cell>
          <cell r="I507">
            <v>188.08933159359901</v>
          </cell>
        </row>
        <row r="508">
          <cell r="A508" t="str">
            <v>D-SNGA</v>
          </cell>
          <cell r="B508" t="str">
            <v>VAR_fout</v>
          </cell>
          <cell r="C508" t="str">
            <v>SNGA</v>
          </cell>
          <cell r="D508">
            <v>27.217513575673827</v>
          </cell>
          <cell r="E508">
            <v>28.488673789826645</v>
          </cell>
          <cell r="F508">
            <v>22.462423181360307</v>
          </cell>
          <cell r="G508">
            <v>15.281110133187958</v>
          </cell>
          <cell r="H508">
            <v>5.2528006102363136</v>
          </cell>
          <cell r="I508">
            <v>3.3323303281517833</v>
          </cell>
        </row>
        <row r="509">
          <cell r="A509" t="str">
            <v>D-SNGA</v>
          </cell>
          <cell r="B509" t="str">
            <v>VAR_fin</v>
          </cell>
          <cell r="C509" t="str">
            <v>NGA</v>
          </cell>
          <cell r="D509">
            <v>26.997762666982748</v>
          </cell>
          <cell r="E509">
            <v>27.030427450953155</v>
          </cell>
          <cell r="F509">
            <v>21.522343340931066</v>
          </cell>
          <cell r="G509">
            <v>13.637230833012525</v>
          </cell>
          <cell r="H509">
            <v>5.2694493819783501</v>
          </cell>
          <cell r="I509">
            <v>3.3349172268368683</v>
          </cell>
        </row>
        <row r="510">
          <cell r="A510" t="str">
            <v>D-SNGA</v>
          </cell>
          <cell r="B510" t="str">
            <v>VAR_fin</v>
          </cell>
          <cell r="C510" t="str">
            <v>BNGA</v>
          </cell>
          <cell r="D510">
            <v>0.3067005106982631</v>
          </cell>
          <cell r="E510">
            <v>1.5492568142003889</v>
          </cell>
          <cell r="F510">
            <v>0.998868600709238</v>
          </cell>
          <cell r="G510">
            <v>1.2329747845071366</v>
          </cell>
          <cell r="H510">
            <v>3.7148899307442223E-4</v>
          </cell>
          <cell r="I510">
            <v>3.1099276473499257E-4</v>
          </cell>
        </row>
        <row r="511">
          <cell r="A511" t="str">
            <v>D-SNGA</v>
          </cell>
          <cell r="B511" t="str">
            <v>VAR_fin</v>
          </cell>
          <cell r="C511" t="str">
            <v>H2</v>
          </cell>
          <cell r="F511">
            <v>1.2970136810543318E-2</v>
          </cell>
          <cell r="G511">
            <v>0.45981400473513701</v>
          </cell>
          <cell r="H511">
            <v>1.5077275981114808E-4</v>
          </cell>
          <cell r="I511">
            <v>8.0046369281763664E-3</v>
          </cell>
        </row>
        <row r="512">
          <cell r="A512" t="str">
            <v>D-SNGA</v>
          </cell>
          <cell r="B512" t="str">
            <v>VAR_ncap</v>
          </cell>
          <cell r="C512" t="str">
            <v>-</v>
          </cell>
          <cell r="D512">
            <v>9.8040416544142607E-7</v>
          </cell>
          <cell r="E512">
            <v>2.24315929685411E-7</v>
          </cell>
          <cell r="F512">
            <v>3.4304968638403703E-7</v>
          </cell>
          <cell r="G512">
            <v>3.4417846444983499E-7</v>
          </cell>
          <cell r="H512">
            <v>8.1589412385096102E-7</v>
          </cell>
          <cell r="I512">
            <v>1.3731118176450601E-6</v>
          </cell>
        </row>
        <row r="513">
          <cell r="A513" t="str">
            <v>D-SNGA</v>
          </cell>
          <cell r="B513" t="str">
            <v>VAR_cap</v>
          </cell>
          <cell r="C513" t="str">
            <v>-</v>
          </cell>
          <cell r="D513">
            <v>2.2350531820293056</v>
          </cell>
          <cell r="E513">
            <v>2.2350534063452354</v>
          </cell>
          <cell r="F513">
            <v>2.2350537493949219</v>
          </cell>
          <cell r="G513">
            <v>2.2350540935733862</v>
          </cell>
          <cell r="H513">
            <v>2.2350555267042234</v>
          </cell>
          <cell r="I513">
            <v>1.120895200679761</v>
          </cell>
        </row>
        <row r="514">
          <cell r="A514" t="str">
            <v>D-IPLT</v>
          </cell>
          <cell r="B514" t="str">
            <v>VAR_fout</v>
          </cell>
          <cell r="C514" t="str">
            <v>IPLT</v>
          </cell>
          <cell r="D514">
            <v>0.62578889809381122</v>
          </cell>
          <cell r="E514">
            <v>0.73757379721998095</v>
          </cell>
          <cell r="F514">
            <v>0.73660131621926284</v>
          </cell>
          <cell r="G514">
            <v>0.73479245023289197</v>
          </cell>
          <cell r="H514">
            <v>0.78207430788481613</v>
          </cell>
          <cell r="I514">
            <v>0.77773603519270351</v>
          </cell>
        </row>
        <row r="515">
          <cell r="A515" t="str">
            <v>D-IPLT</v>
          </cell>
          <cell r="B515" t="str">
            <v>VAR_fin</v>
          </cell>
          <cell r="C515" t="str">
            <v>PLT</v>
          </cell>
          <cell r="D515">
            <v>0.62578889809381122</v>
          </cell>
          <cell r="E515">
            <v>0.73757379721998095</v>
          </cell>
          <cell r="F515">
            <v>0.73660131621926284</v>
          </cell>
          <cell r="G515">
            <v>0.73479245023289197</v>
          </cell>
          <cell r="H515">
            <v>0.78207430788481613</v>
          </cell>
          <cell r="I515">
            <v>0.77773603519270351</v>
          </cell>
        </row>
        <row r="516">
          <cell r="A516" t="str">
            <v>ITOT-SWHWODBR</v>
          </cell>
          <cell r="B516" t="str">
            <v>VAR_fout</v>
          </cell>
          <cell r="C516" t="str">
            <v>ITOT-SWH</v>
          </cell>
          <cell r="D516">
            <v>5.3111205868335913</v>
          </cell>
          <cell r="E516">
            <v>6.2669396804598643</v>
          </cell>
          <cell r="F516">
            <v>6.2611640730736644</v>
          </cell>
          <cell r="G516">
            <v>5.6894381922803694</v>
          </cell>
          <cell r="H516">
            <v>9.7223873323861909</v>
          </cell>
          <cell r="I516">
            <v>4.4559154969080605</v>
          </cell>
        </row>
        <row r="517">
          <cell r="A517" t="str">
            <v>ITOT-SWHWODBR</v>
          </cell>
          <cell r="B517" t="str">
            <v>VAR_fin</v>
          </cell>
          <cell r="C517" t="str">
            <v>IWOD</v>
          </cell>
          <cell r="D517">
            <v>9.0018992997179446</v>
          </cell>
          <cell r="E517">
            <v>10.60994302560924</v>
          </cell>
          <cell r="F517">
            <v>10.582249137589303</v>
          </cell>
          <cell r="G517">
            <v>9.5889407735062484</v>
          </cell>
          <cell r="H517">
            <v>16.294503909027135</v>
          </cell>
          <cell r="I517">
            <v>7.426525828180103</v>
          </cell>
        </row>
        <row r="518">
          <cell r="A518" t="str">
            <v>ITOT-SWHWODBR</v>
          </cell>
          <cell r="B518" t="str">
            <v>VAR_fin</v>
          </cell>
          <cell r="C518" t="str">
            <v>ITOTWODBRC</v>
          </cell>
          <cell r="D518">
            <v>5.3111205868335913</v>
          </cell>
          <cell r="E518">
            <v>6.2669396804598643</v>
          </cell>
          <cell r="F518">
            <v>6.2611640730736644</v>
          </cell>
          <cell r="G518">
            <v>5.6894381922803694</v>
          </cell>
          <cell r="H518">
            <v>9.7223873323861909</v>
          </cell>
          <cell r="I518">
            <v>4.4559154969080605</v>
          </cell>
        </row>
        <row r="519">
          <cell r="A519" t="str">
            <v>ITOT-SWHWODBR</v>
          </cell>
          <cell r="B519" t="str">
            <v>VAR_ncap</v>
          </cell>
          <cell r="C519" t="str">
            <v>-</v>
          </cell>
          <cell r="E519">
            <v>5.2696218588022203E-2</v>
          </cell>
          <cell r="F519">
            <v>1.45589538372271E-4</v>
          </cell>
          <cell r="G519">
            <v>2.3654384781393299E-5</v>
          </cell>
          <cell r="H519">
            <v>0.246434407528348</v>
          </cell>
          <cell r="I519">
            <v>1.4946632630164199E-5</v>
          </cell>
        </row>
        <row r="520">
          <cell r="A520" t="str">
            <v>ITOT-SWHWODBR</v>
          </cell>
          <cell r="B520" t="str">
            <v>VAR_cap</v>
          </cell>
          <cell r="C520" t="str">
            <v>-</v>
          </cell>
          <cell r="D520">
            <v>0.28883369534761499</v>
          </cell>
          <cell r="E520">
            <v>0.34152808751972386</v>
          </cell>
          <cell r="F520">
            <v>0.34164361594987946</v>
          </cell>
          <cell r="G520">
            <v>0.3415902248801434</v>
          </cell>
          <cell r="H520">
            <v>0.55336380097510063</v>
          </cell>
          <cell r="I520">
            <v>0.30854534880717038</v>
          </cell>
        </row>
        <row r="521">
          <cell r="A521" t="str">
            <v>D-ITOT_KEV_WOD_ELC_CHP</v>
          </cell>
          <cell r="B521" t="str">
            <v>VAR_fout</v>
          </cell>
          <cell r="C521" t="str">
            <v>ITOT_ELC</v>
          </cell>
          <cell r="D521">
            <v>4.738882780926341E-4</v>
          </cell>
          <cell r="E521">
            <v>1.9388068440915991E-4</v>
          </cell>
          <cell r="F521">
            <v>3.4980432397146944E-4</v>
          </cell>
          <cell r="G521">
            <v>2.6013501119166956E-3</v>
          </cell>
          <cell r="H521">
            <v>2.3658171475786127</v>
          </cell>
          <cell r="I521">
            <v>3.0303142412996165</v>
          </cell>
        </row>
        <row r="522">
          <cell r="A522" t="str">
            <v>D-ITOT_KEV_WOD_ELC_CHP</v>
          </cell>
          <cell r="B522" t="str">
            <v>VAR_fout</v>
          </cell>
          <cell r="C522" t="str">
            <v>ELC5</v>
          </cell>
          <cell r="D522">
            <v>0.17208146620130185</v>
          </cell>
          <cell r="E522">
            <v>0.52140556394633952</v>
          </cell>
          <cell r="F522">
            <v>1.1328797451339463</v>
          </cell>
          <cell r="G522">
            <v>1.4945276515615464</v>
          </cell>
          <cell r="H522">
            <v>0.17517500103454434</v>
          </cell>
          <cell r="I522">
            <v>0.38989602984037497</v>
          </cell>
        </row>
        <row r="523">
          <cell r="A523" t="str">
            <v>D-ITOT_KEV_WOD_ELC_CHP</v>
          </cell>
          <cell r="B523" t="str">
            <v>VAR_fin</v>
          </cell>
          <cell r="C523" t="str">
            <v>ITOT_KEV_WOD_ELC_CHP</v>
          </cell>
          <cell r="D523">
            <v>0.17255535447939477</v>
          </cell>
          <cell r="E523">
            <v>0.52159944463074903</v>
          </cell>
          <cell r="F523">
            <v>1.1332273049278159</v>
          </cell>
          <cell r="G523">
            <v>1.4971256597424241</v>
          </cell>
          <cell r="H523">
            <v>2.5409921486131548</v>
          </cell>
          <cell r="I523">
            <v>3.4202102711399922</v>
          </cell>
        </row>
        <row r="524">
          <cell r="A524" t="str">
            <v>RHEM-SHSTG-SOL</v>
          </cell>
          <cell r="B524" t="str">
            <v>VAR_fout</v>
          </cell>
          <cell r="C524" t="str">
            <v>RHEM-SHASOL</v>
          </cell>
          <cell r="D524">
            <v>5.680957606028263E-6</v>
          </cell>
          <cell r="E524">
            <v>4.29785033154598E-6</v>
          </cell>
          <cell r="F524">
            <v>2.4004923921935374E-3</v>
          </cell>
          <cell r="G524">
            <v>2.1316412158072446E-3</v>
          </cell>
          <cell r="H524">
            <v>2.0525100137530942E-3</v>
          </cell>
          <cell r="I524">
            <v>2.7674208651702393E-3</v>
          </cell>
        </row>
        <row r="525">
          <cell r="A525" t="str">
            <v>RHEM-SHSTG-SOL</v>
          </cell>
          <cell r="B525" t="str">
            <v>VAR_fin</v>
          </cell>
          <cell r="C525" t="str">
            <v>RHEM-SHASOL</v>
          </cell>
          <cell r="D525">
            <v>9.9043614912984531E-7</v>
          </cell>
          <cell r="E525">
            <v>3.1660147026141713E-6</v>
          </cell>
          <cell r="F525">
            <v>2.3989072908343853E-3</v>
          </cell>
          <cell r="G525">
            <v>2.1289930264952869E-3</v>
          </cell>
          <cell r="H525">
            <v>2.0516674475450488E-3</v>
          </cell>
          <cell r="I525">
            <v>2.7662545855128792E-3</v>
          </cell>
        </row>
        <row r="526">
          <cell r="A526" t="str">
            <v>RHEM-SHSTG-SOL</v>
          </cell>
          <cell r="B526" t="str">
            <v>VAR_ncap</v>
          </cell>
          <cell r="C526" t="str">
            <v>-</v>
          </cell>
          <cell r="D526">
            <v>1.44461141043921E-2</v>
          </cell>
          <cell r="E526">
            <v>1.6499528447526399E-3</v>
          </cell>
          <cell r="F526">
            <v>1.7581827091879E-7</v>
          </cell>
          <cell r="G526">
            <v>2.3333711072286E-7</v>
          </cell>
          <cell r="H526">
            <v>4.3572597912211897E-4</v>
          </cell>
          <cell r="I526">
            <v>2.7777608994030399E-4</v>
          </cell>
        </row>
        <row r="527">
          <cell r="A527" t="str">
            <v>RHEM-SHSTG-SOL</v>
          </cell>
          <cell r="B527" t="str">
            <v>VAR_cap</v>
          </cell>
          <cell r="C527" t="str">
            <v>-</v>
          </cell>
          <cell r="D527">
            <v>1.44461141043921E-2</v>
          </cell>
          <cell r="E527">
            <v>1.6096066949144699E-2</v>
          </cell>
          <cell r="F527">
            <v>1.60962427674156E-2</v>
          </cell>
          <cell r="G527">
            <v>1.60964761045264E-2</v>
          </cell>
          <cell r="H527">
            <v>5.1361199082234797E-4</v>
          </cell>
          <cell r="I527">
            <v>6.2686182299803099E-4</v>
          </cell>
        </row>
        <row r="528">
          <cell r="A528" t="str">
            <v>ITOT-SWHCONBR10</v>
          </cell>
          <cell r="B528" t="str">
            <v>VAR_fout</v>
          </cell>
          <cell r="C528" t="str">
            <v>ITOT-ELS</v>
          </cell>
          <cell r="E528">
            <v>2.5905577394114007E-5</v>
          </cell>
          <cell r="F528">
            <v>2.6200741484302214E-5</v>
          </cell>
          <cell r="G528">
            <v>2.5561722625957453E-5</v>
          </cell>
          <cell r="H528">
            <v>3.540577008376135E-5</v>
          </cell>
          <cell r="I528">
            <v>4.3692147756250622E-5</v>
          </cell>
        </row>
        <row r="529">
          <cell r="A529" t="str">
            <v>ITOT-SWHCONBR10</v>
          </cell>
          <cell r="B529" t="str">
            <v>VAR_fout</v>
          </cell>
          <cell r="C529" t="str">
            <v>ITOT-SWHC</v>
          </cell>
          <cell r="E529">
            <v>1.5952924467561627E-4</v>
          </cell>
          <cell r="F529">
            <v>1.6134689589592053E-4</v>
          </cell>
          <cell r="G529">
            <v>1.574117511873382E-4</v>
          </cell>
          <cell r="H529">
            <v>2.1803242107640969E-4</v>
          </cell>
          <cell r="I529">
            <v>2.6906079813506818E-4</v>
          </cell>
        </row>
        <row r="530">
          <cell r="A530" t="str">
            <v>ITOT-SWHCONBR10</v>
          </cell>
          <cell r="B530" t="str">
            <v>VAR_fin</v>
          </cell>
          <cell r="C530" t="str">
            <v>CON</v>
          </cell>
          <cell r="E530">
            <v>1.854348220697304E-4</v>
          </cell>
          <cell r="F530">
            <v>1.8754763738022262E-4</v>
          </cell>
          <cell r="G530">
            <v>1.8297347381329558E-4</v>
          </cell>
          <cell r="H530">
            <v>2.5343819116017101E-4</v>
          </cell>
          <cell r="I530">
            <v>3.1275294589131863E-4</v>
          </cell>
        </row>
        <row r="531">
          <cell r="A531" t="str">
            <v>ITOT-SWHCONBR10</v>
          </cell>
          <cell r="B531" t="str">
            <v>VAR_ncap</v>
          </cell>
          <cell r="C531" t="str">
            <v>-</v>
          </cell>
          <cell r="E531">
            <v>9.1936164274346803E-6</v>
          </cell>
          <cell r="F531">
            <v>1.90658600948188E-7</v>
          </cell>
          <cell r="G531">
            <v>1.51407862122383E-7</v>
          </cell>
          <cell r="H531">
            <v>1.9119266283980101E-6</v>
          </cell>
          <cell r="I531">
            <v>9.5279423053651308E-6</v>
          </cell>
        </row>
        <row r="532">
          <cell r="A532" t="str">
            <v>ITOT-SWHCONBR10</v>
          </cell>
          <cell r="B532" t="str">
            <v>VAR_cap</v>
          </cell>
          <cell r="C532" t="str">
            <v>-</v>
          </cell>
          <cell r="E532">
            <v>9.1936164274346803E-6</v>
          </cell>
          <cell r="F532">
            <v>9.3842750283828705E-6</v>
          </cell>
          <cell r="G532">
            <v>9.5356828905052497E-6</v>
          </cell>
          <cell r="H532">
            <v>1.3201221562505299E-5</v>
          </cell>
          <cell r="I532">
            <v>1.5632776812791601E-5</v>
          </cell>
        </row>
        <row r="533">
          <cell r="A533" t="str">
            <v>SCOM-SHSTG</v>
          </cell>
          <cell r="B533" t="str">
            <v>VAR_fout</v>
          </cell>
          <cell r="C533" t="str">
            <v>AUX_SCOM-SHSTG_OUT</v>
          </cell>
          <cell r="D533">
            <v>5.6643763686322671E-6</v>
          </cell>
          <cell r="E533">
            <v>2.629442319261863E-4</v>
          </cell>
          <cell r="F533">
            <v>2.3748078308180033E-5</v>
          </cell>
          <cell r="G533">
            <v>2.3975229459469004E-5</v>
          </cell>
          <cell r="H533">
            <v>6.6972536236064987E-5</v>
          </cell>
          <cell r="I533">
            <v>1.356319066082548E-3</v>
          </cell>
        </row>
        <row r="534">
          <cell r="A534" t="str">
            <v>SCOM-SHSTG</v>
          </cell>
          <cell r="B534" t="str">
            <v>VAR_fout</v>
          </cell>
          <cell r="C534" t="str">
            <v>SCOM-SHD</v>
          </cell>
          <cell r="D534">
            <v>5.6643763686322789E-6</v>
          </cell>
          <cell r="E534">
            <v>2.631591544146066E-4</v>
          </cell>
          <cell r="F534">
            <v>2.3778407910106241E-5</v>
          </cell>
          <cell r="G534">
            <v>2.397522945946897E-5</v>
          </cell>
          <cell r="H534">
            <v>6.6972536236064919E-5</v>
          </cell>
          <cell r="I534">
            <v>1.356319066082548E-3</v>
          </cell>
        </row>
        <row r="535">
          <cell r="A535" t="str">
            <v>SCOM-SHSTG</v>
          </cell>
          <cell r="B535" t="str">
            <v>VAR_fin</v>
          </cell>
          <cell r="C535" t="str">
            <v>AUX_SCOM-SHSTG_IN</v>
          </cell>
          <cell r="D535">
            <v>7.4247181681305694E-6</v>
          </cell>
          <cell r="E535">
            <v>3.2108646222501032E-4</v>
          </cell>
          <cell r="F535">
            <v>2.9020803261986338E-5</v>
          </cell>
          <cell r="G535">
            <v>2.8212805334127253E-5</v>
          </cell>
          <cell r="H535">
            <v>7.2778010155053014E-5</v>
          </cell>
          <cell r="I535">
            <v>1.3705560470694219E-3</v>
          </cell>
        </row>
        <row r="536">
          <cell r="A536" t="str">
            <v>SCOM-SHSTG</v>
          </cell>
          <cell r="B536" t="str">
            <v>VAR_fin</v>
          </cell>
          <cell r="C536" t="str">
            <v>SCOM-SHD</v>
          </cell>
          <cell r="D536">
            <v>7.4247181681305694E-6</v>
          </cell>
          <cell r="E536">
            <v>3.2108646222501032E-4</v>
          </cell>
          <cell r="F536">
            <v>2.9020803261986338E-5</v>
          </cell>
          <cell r="G536">
            <v>2.8212805334127253E-5</v>
          </cell>
          <cell r="H536">
            <v>7.2778010155053014E-5</v>
          </cell>
          <cell r="I536">
            <v>1.3705560470694219E-3</v>
          </cell>
        </row>
        <row r="537">
          <cell r="A537" t="str">
            <v>SCOM-SHSTG</v>
          </cell>
          <cell r="B537" t="str">
            <v>VAR_ncap</v>
          </cell>
          <cell r="C537" t="str">
            <v>-</v>
          </cell>
          <cell r="D537">
            <v>7.5860654366493804E-4</v>
          </cell>
          <cell r="E537">
            <v>7.5005465255415104E-6</v>
          </cell>
          <cell r="F537">
            <v>5.9601612146151096E-6</v>
          </cell>
          <cell r="G537">
            <v>3.2924889342318E-6</v>
          </cell>
          <cell r="H537">
            <v>4.5746683316686798E-4</v>
          </cell>
          <cell r="I537">
            <v>4.7785229140619E-4</v>
          </cell>
        </row>
        <row r="538">
          <cell r="A538" t="str">
            <v>SCOM-SHSTG</v>
          </cell>
          <cell r="B538" t="str">
            <v>VAR_cap</v>
          </cell>
          <cell r="C538" t="str">
            <v>-</v>
          </cell>
          <cell r="D538">
            <v>7.5860654366493804E-4</v>
          </cell>
          <cell r="E538">
            <v>7.6478336579285998E-4</v>
          </cell>
          <cell r="F538">
            <v>7.6878497932731131E-4</v>
          </cell>
          <cell r="G538">
            <v>7.693632921368514E-4</v>
          </cell>
          <cell r="H538">
            <v>8.8059847322551901E-4</v>
          </cell>
          <cell r="I538">
            <v>1.0545443857550608E-3</v>
          </cell>
        </row>
        <row r="539">
          <cell r="A539" t="str">
            <v>D-ITOT_KEV_HFC_ELC_CHP</v>
          </cell>
          <cell r="B539" t="str">
            <v>VAR_fout</v>
          </cell>
          <cell r="C539" t="str">
            <v>ITOT_ELC</v>
          </cell>
          <cell r="G539">
            <v>1.8938188913470821</v>
          </cell>
          <cell r="H539">
            <v>7.4257873067976404E-2</v>
          </cell>
          <cell r="I539">
            <v>3.4242200745020512</v>
          </cell>
        </row>
        <row r="540">
          <cell r="A540" t="str">
            <v>D-ITOT_KEV_HFC_ELC_CHP</v>
          </cell>
          <cell r="B540" t="str">
            <v>VAR_fout</v>
          </cell>
          <cell r="C540" t="str">
            <v>ELC5</v>
          </cell>
          <cell r="G540">
            <v>2.8939485699823631E-2</v>
          </cell>
          <cell r="H540">
            <v>2.001182334216571E-2</v>
          </cell>
          <cell r="I540">
            <v>0.53078511874266676</v>
          </cell>
        </row>
        <row r="541">
          <cell r="A541" t="str">
            <v>D-ITOT_KEV_HFC_ELC_CHP</v>
          </cell>
          <cell r="B541" t="str">
            <v>VAR_fin</v>
          </cell>
          <cell r="C541" t="str">
            <v>ITOT_KEV_HFC_ELC_CHP</v>
          </cell>
          <cell r="G541">
            <v>1.9227513049133649</v>
          </cell>
          <cell r="H541">
            <v>9.42695229606446E-2</v>
          </cell>
          <cell r="I541">
            <v>3.9550009175181295</v>
          </cell>
        </row>
        <row r="542">
          <cell r="A542" t="str">
            <v>D-RNGA</v>
          </cell>
          <cell r="B542" t="str">
            <v>VAR_fout</v>
          </cell>
          <cell r="C542" t="str">
            <v>CO2</v>
          </cell>
          <cell r="D542">
            <v>2652.47581767781</v>
          </cell>
          <cell r="E542">
            <v>2628.5390331857802</v>
          </cell>
          <cell r="F542">
            <v>2468.9258421428699</v>
          </cell>
          <cell r="G542">
            <v>1597.2073098615799</v>
          </cell>
          <cell r="H542">
            <v>913.01592543615595</v>
          </cell>
          <cell r="I542">
            <v>572.98742958728201</v>
          </cell>
        </row>
        <row r="543">
          <cell r="A543" t="str">
            <v>D-RNGA</v>
          </cell>
          <cell r="B543" t="str">
            <v>VAR_fout</v>
          </cell>
          <cell r="C543" t="str">
            <v>RNGA</v>
          </cell>
          <cell r="D543">
            <v>47.189829328321309</v>
          </cell>
          <cell r="E543">
            <v>48.283055167554849</v>
          </cell>
          <cell r="F543">
            <v>45.055857769921346</v>
          </cell>
          <cell r="G543">
            <v>31.170319753283504</v>
          </cell>
          <cell r="H543">
            <v>16.137196947506851</v>
          </cell>
          <cell r="I543">
            <v>10.150207603718286</v>
          </cell>
        </row>
        <row r="544">
          <cell r="A544" t="str">
            <v>D-RNGA</v>
          </cell>
          <cell r="B544" t="str">
            <v>VAR_fin</v>
          </cell>
          <cell r="C544" t="str">
            <v>NGA</v>
          </cell>
          <cell r="D544">
            <v>47.029713079393694</v>
          </cell>
          <cell r="E544">
            <v>46.60530200684012</v>
          </cell>
          <cell r="F544">
            <v>43.775280889058081</v>
          </cell>
          <cell r="G544">
            <v>28.319278543644955</v>
          </cell>
          <cell r="H544">
            <v>16.188225628300636</v>
          </cell>
          <cell r="I544">
            <v>10.159351588426981</v>
          </cell>
        </row>
        <row r="545">
          <cell r="A545" t="str">
            <v>D-RNGA</v>
          </cell>
          <cell r="B545" t="str">
            <v>VAR_fin</v>
          </cell>
          <cell r="C545" t="str">
            <v>BNGA</v>
          </cell>
          <cell r="D545">
            <v>0.3108698020572076</v>
          </cell>
          <cell r="E545">
            <v>1.8319991545244689</v>
          </cell>
          <cell r="F545">
            <v>1.3980737544670683</v>
          </cell>
          <cell r="G545">
            <v>2.0126094042663301</v>
          </cell>
          <cell r="H545">
            <v>3.6456010064869445E-4</v>
          </cell>
          <cell r="I545">
            <v>3.0989874808781817E-4</v>
          </cell>
        </row>
        <row r="546">
          <cell r="A546" t="str">
            <v>D-RNGA</v>
          </cell>
          <cell r="B546" t="str">
            <v>VAR_fin</v>
          </cell>
          <cell r="C546" t="str">
            <v>H2</v>
          </cell>
          <cell r="F546">
            <v>2.6439452184988423E-2</v>
          </cell>
          <cell r="G546">
            <v>0.93800911942222831</v>
          </cell>
          <cell r="H546">
            <v>1.5896457049809315E-4</v>
          </cell>
          <cell r="I546">
            <v>2.2972168576957049E-2</v>
          </cell>
        </row>
        <row r="547">
          <cell r="A547" t="str">
            <v>D-RNGA</v>
          </cell>
          <cell r="B547" t="str">
            <v>VAR_ncap</v>
          </cell>
          <cell r="C547" t="str">
            <v>-</v>
          </cell>
          <cell r="D547">
            <v>3.9569678137343602E-7</v>
          </cell>
          <cell r="E547">
            <v>1.2298414021957801E-7</v>
          </cell>
          <cell r="F547">
            <v>1.9889986248376301E-7</v>
          </cell>
          <cell r="G547">
            <v>1.0554161636876901E-7</v>
          </cell>
          <cell r="H547">
            <v>2.18384076279798E-7</v>
          </cell>
          <cell r="I547">
            <v>3.8825956664360499E-7</v>
          </cell>
        </row>
        <row r="548">
          <cell r="A548" t="str">
            <v>D-RNGA</v>
          </cell>
          <cell r="B548" t="str">
            <v>VAR_cap</v>
          </cell>
          <cell r="C548" t="str">
            <v>-</v>
          </cell>
          <cell r="D548">
            <v>3.0972404030927017</v>
          </cell>
          <cell r="E548">
            <v>3.0972405260768419</v>
          </cell>
          <cell r="F548">
            <v>3.0972407249767042</v>
          </cell>
          <cell r="G548">
            <v>3.0972408305183206</v>
          </cell>
          <cell r="H548">
            <v>3.0972412120024493</v>
          </cell>
          <cell r="I548">
            <v>1.553283840902316</v>
          </cell>
        </row>
        <row r="549">
          <cell r="A549" t="str">
            <v>RHNS-SHLTHCHPNGA</v>
          </cell>
          <cell r="B549" t="str">
            <v>VAR_fout</v>
          </cell>
          <cell r="C549" t="str">
            <v>RHNS-SHLTHC-NGA</v>
          </cell>
          <cell r="E549">
            <v>8.6814576265137626E-4</v>
          </cell>
        </row>
        <row r="550">
          <cell r="A550" t="str">
            <v>RHNS-SHLTHCHPNGA</v>
          </cell>
          <cell r="B550" t="str">
            <v>VAR_fin</v>
          </cell>
          <cell r="C550" t="str">
            <v>RHNSLTHCHPC</v>
          </cell>
          <cell r="E550">
            <v>8.6814576265137626E-4</v>
          </cell>
        </row>
        <row r="551">
          <cell r="A551" t="str">
            <v>RHNS-SHLTHCHPNGA</v>
          </cell>
          <cell r="B551" t="str">
            <v>VAR_fin</v>
          </cell>
          <cell r="C551" t="str">
            <v>RHNS_LTH_CHPNGA_ON</v>
          </cell>
          <cell r="E551">
            <v>8.769149117690677E-4</v>
          </cell>
        </row>
        <row r="552">
          <cell r="A552" t="str">
            <v>RHNS-SHLTHCHPNGA</v>
          </cell>
          <cell r="B552" t="str">
            <v>VAR_ncap</v>
          </cell>
          <cell r="C552" t="str">
            <v>-</v>
          </cell>
          <cell r="E552">
            <v>1.42115586693239E-4</v>
          </cell>
          <cell r="F552">
            <v>1.2346465164286101E-4</v>
          </cell>
          <cell r="G552">
            <v>1.07186459860607E-4</v>
          </cell>
          <cell r="H552">
            <v>2.5554402128525998E-4</v>
          </cell>
          <cell r="I552">
            <v>1.50861667546941E-4</v>
          </cell>
        </row>
        <row r="553">
          <cell r="A553" t="str">
            <v>RHNS-SHLTHCHPNGA</v>
          </cell>
          <cell r="B553" t="str">
            <v>VAR_cap</v>
          </cell>
          <cell r="C553" t="str">
            <v>-</v>
          </cell>
          <cell r="E553">
            <v>1.42115586693239E-4</v>
          </cell>
          <cell r="F553">
            <v>1.7174403785676971E-4</v>
          </cell>
          <cell r="G553">
            <v>1.8809108834340598E-4</v>
          </cell>
          <cell r="H553">
            <v>4.44473715007872E-4</v>
          </cell>
          <cell r="I553">
            <v>2.4814511384501199E-4</v>
          </cell>
        </row>
        <row r="554">
          <cell r="A554" t="str">
            <v>D-SCOM_KEV_BIO_ELC_CHP</v>
          </cell>
          <cell r="B554" t="str">
            <v>VAR_fout</v>
          </cell>
          <cell r="C554" t="str">
            <v>ELC5</v>
          </cell>
          <cell r="D554">
            <v>0.95909233883594769</v>
          </cell>
          <cell r="E554">
            <v>1.1058625972737923</v>
          </cell>
          <cell r="F554">
            <v>1.1058368041870665</v>
          </cell>
          <cell r="G554">
            <v>1.1056287761203352</v>
          </cell>
          <cell r="H554">
            <v>0.55545051727750816</v>
          </cell>
          <cell r="I554">
            <v>0.55530232896661702</v>
          </cell>
        </row>
        <row r="555">
          <cell r="A555" t="str">
            <v>D-SCOM_KEV_BIO_ELC_CHP</v>
          </cell>
          <cell r="B555" t="str">
            <v>VAR_fout</v>
          </cell>
          <cell r="C555" t="str">
            <v>SCOM_ELC</v>
          </cell>
          <cell r="D555">
            <v>2.737495659952254E-4</v>
          </cell>
          <cell r="E555">
            <v>1.077341285197757E-4</v>
          </cell>
          <cell r="F555">
            <v>1.3364967119029953E-4</v>
          </cell>
          <cell r="G555">
            <v>3.4308224655742658E-4</v>
          </cell>
          <cell r="H555">
            <v>0.55070513932748921</v>
          </cell>
          <cell r="I555">
            <v>0.550855747277884</v>
          </cell>
        </row>
        <row r="556">
          <cell r="A556" t="str">
            <v>D-SCOM_KEV_BIO_ELC_CHP</v>
          </cell>
          <cell r="B556" t="str">
            <v>VAR_fin</v>
          </cell>
          <cell r="C556" t="str">
            <v>SCOM_KEV_BIO_ELC_CHP</v>
          </cell>
          <cell r="D556">
            <v>0.95936608840194293</v>
          </cell>
          <cell r="E556">
            <v>1.1059703314023126</v>
          </cell>
          <cell r="F556">
            <v>1.1059698491146788</v>
          </cell>
          <cell r="G556">
            <v>1.1059699414783823</v>
          </cell>
          <cell r="H556">
            <v>1.106145232659695</v>
          </cell>
          <cell r="I556">
            <v>1.1061457498503979</v>
          </cell>
        </row>
        <row r="557">
          <cell r="A557" t="str">
            <v>RHES-SHLTHCHPWOD</v>
          </cell>
          <cell r="B557" t="str">
            <v>VAR_ncap</v>
          </cell>
          <cell r="C557" t="str">
            <v>-</v>
          </cell>
          <cell r="G557">
            <v>1.10987615574587E-4</v>
          </cell>
          <cell r="H557">
            <v>6.5324537506325798E-5</v>
          </cell>
          <cell r="I557">
            <v>3.4389873640829099E-5</v>
          </cell>
        </row>
        <row r="558">
          <cell r="A558" t="str">
            <v>RHES-SHLTHCHPWOD</v>
          </cell>
          <cell r="B558" t="str">
            <v>VAR_cap</v>
          </cell>
          <cell r="C558" t="str">
            <v>-</v>
          </cell>
          <cell r="G558">
            <v>1.10987615574587E-4</v>
          </cell>
          <cell r="H558">
            <v>1.2360025247446502E-4</v>
          </cell>
          <cell r="I558">
            <v>5.9021374861899513E-5</v>
          </cell>
        </row>
        <row r="559">
          <cell r="A559" t="str">
            <v>RHES-SHSTG-NGAHP</v>
          </cell>
          <cell r="B559" t="str">
            <v>VAR_fout</v>
          </cell>
          <cell r="C559" t="str">
            <v>RHES-SHANGAH</v>
          </cell>
          <cell r="F559">
            <v>4.3374326314109743E-3</v>
          </cell>
          <cell r="G559">
            <v>2.5077719750228253E-2</v>
          </cell>
          <cell r="H559">
            <v>2.9609702931752118E-3</v>
          </cell>
          <cell r="I559">
            <v>2.7097937987057121E-3</v>
          </cell>
        </row>
        <row r="560">
          <cell r="A560" t="str">
            <v>RHES-SHSTG-NGAHP</v>
          </cell>
          <cell r="B560" t="str">
            <v>VAR_fin</v>
          </cell>
          <cell r="C560" t="str">
            <v>RHES-SHANGAH</v>
          </cell>
          <cell r="F560">
            <v>4.3486829219590867E-3</v>
          </cell>
          <cell r="G560">
            <v>2.5089454146634736E-2</v>
          </cell>
          <cell r="H560">
            <v>2.9653214498567616E-3</v>
          </cell>
          <cell r="I560">
            <v>2.7157680627885126E-3</v>
          </cell>
        </row>
        <row r="561">
          <cell r="A561" t="str">
            <v>RHES-SHSTG-NGAHP</v>
          </cell>
          <cell r="B561" t="str">
            <v>VAR_ncap</v>
          </cell>
          <cell r="C561" t="str">
            <v>-</v>
          </cell>
          <cell r="D561">
            <v>1.17965841883118E-5</v>
          </cell>
          <cell r="E561">
            <v>6.8141193158368097E-6</v>
          </cell>
          <cell r="F561">
            <v>2.1825295448076602E-2</v>
          </cell>
          <cell r="G561">
            <v>2.9532771464480401E-4</v>
          </cell>
          <cell r="H561">
            <v>1.57918319447613E-2</v>
          </cell>
          <cell r="I561">
            <v>3.5472120230117601E-3</v>
          </cell>
        </row>
        <row r="562">
          <cell r="A562" t="str">
            <v>RHES-SHSTG-NGAHP</v>
          </cell>
          <cell r="B562" t="str">
            <v>VAR_cap</v>
          </cell>
          <cell r="C562" t="str">
            <v>-</v>
          </cell>
          <cell r="D562">
            <v>1.17965841883118E-5</v>
          </cell>
          <cell r="E562">
            <v>4.993418912937011E-7</v>
          </cell>
          <cell r="F562">
            <v>2.1822406855654383E-2</v>
          </cell>
          <cell r="G562">
            <v>2.2105318403138858E-2</v>
          </cell>
          <cell r="H562">
            <v>1.986292697761545E-2</v>
          </cell>
          <cell r="I562">
            <v>1.5005945416433752E-2</v>
          </cell>
        </row>
        <row r="563">
          <cell r="A563" t="str">
            <v>D-RHNS_SOLELC</v>
          </cell>
          <cell r="B563" t="str">
            <v>VAR_fout</v>
          </cell>
          <cell r="C563" t="str">
            <v>RHNS_ELC</v>
          </cell>
          <cell r="E563">
            <v>2.4466251259350391E-5</v>
          </cell>
          <cell r="F563">
            <v>2.7863221184279215E-3</v>
          </cell>
          <cell r="G563">
            <v>3.3953075013064354E-3</v>
          </cell>
          <cell r="H563">
            <v>3.702366549519723E-3</v>
          </cell>
          <cell r="I563">
            <v>4.1021298300270769E-3</v>
          </cell>
        </row>
        <row r="564">
          <cell r="A564" t="str">
            <v>D-RHNS_SOLELC</v>
          </cell>
          <cell r="B564" t="str">
            <v>VAR_fout</v>
          </cell>
          <cell r="C564" t="str">
            <v>ELC5</v>
          </cell>
          <cell r="E564">
            <v>2.4377663487359455E-5</v>
          </cell>
          <cell r="F564">
            <v>2.9185705425651223E-3</v>
          </cell>
          <cell r="G564">
            <v>3.3208675846199652E-3</v>
          </cell>
          <cell r="H564">
            <v>3.7273068514305755E-3</v>
          </cell>
          <cell r="I564">
            <v>4.1105035543898992E-3</v>
          </cell>
        </row>
        <row r="565">
          <cell r="A565" t="str">
            <v>D-RHNS_SOLELC</v>
          </cell>
          <cell r="B565" t="str">
            <v>VAR_fin</v>
          </cell>
          <cell r="C565" t="str">
            <v>RHNS_SOL_ELC</v>
          </cell>
          <cell r="E565">
            <v>4.7893111804629604E-5</v>
          </cell>
          <cell r="F565">
            <v>5.7014246795865538E-3</v>
          </cell>
          <cell r="G565">
            <v>6.712071380217015E-3</v>
          </cell>
          <cell r="H565">
            <v>7.4242730912798842E-3</v>
          </cell>
          <cell r="I565">
            <v>8.2073507923089324E-3</v>
          </cell>
        </row>
        <row r="566">
          <cell r="A566" t="str">
            <v>D-IHFO</v>
          </cell>
          <cell r="B566" t="str">
            <v>VAR_fout</v>
          </cell>
          <cell r="C566" t="str">
            <v>CO2</v>
          </cell>
          <cell r="D566">
            <v>213.78054402665401</v>
          </cell>
          <cell r="E566">
            <v>8.3243604151583106E-2</v>
          </cell>
          <cell r="F566">
            <v>0.109172701597538</v>
          </cell>
          <cell r="G566">
            <v>0.18411915603684001</v>
          </cell>
          <cell r="H566">
            <v>2.7711024026771801E-2</v>
          </cell>
        </row>
        <row r="567">
          <cell r="A567" t="str">
            <v>D-IHFO</v>
          </cell>
          <cell r="B567" t="str">
            <v>VAR_fout</v>
          </cell>
          <cell r="C567" t="str">
            <v>IHFO</v>
          </cell>
          <cell r="D567">
            <v>2.7300020753577039</v>
          </cell>
          <cell r="E567">
            <v>1.0630303759810041E-3</v>
          </cell>
          <cell r="F567">
            <v>1.3941479253440729E-3</v>
          </cell>
          <cell r="G567">
            <v>2.351222747524737E-3</v>
          </cell>
          <cell r="H567">
            <v>3.5387295624966883E-4</v>
          </cell>
        </row>
        <row r="568">
          <cell r="A568" t="str">
            <v>D-IHFO</v>
          </cell>
          <cell r="B568" t="str">
            <v>VAR_fin</v>
          </cell>
          <cell r="C568" t="str">
            <v>HFO</v>
          </cell>
          <cell r="D568">
            <v>2.7763707016448524</v>
          </cell>
          <cell r="E568">
            <v>1.081085768202379E-3</v>
          </cell>
          <cell r="F568">
            <v>1.4178272934745203E-3</v>
          </cell>
          <cell r="G568">
            <v>2.3911578706083091E-3</v>
          </cell>
          <cell r="H568">
            <v>3.5988342891911493E-4</v>
          </cell>
        </row>
        <row r="569">
          <cell r="A569" t="str">
            <v>RHEM-SHCONBR</v>
          </cell>
          <cell r="B569" t="str">
            <v>VAR_fout</v>
          </cell>
          <cell r="C569" t="str">
            <v>RHEM-SHCON</v>
          </cell>
          <cell r="F569">
            <v>2.2409779815641483E-4</v>
          </cell>
          <cell r="G569">
            <v>2.5015827709360397E-4</v>
          </cell>
          <cell r="H569">
            <v>3.80724993333568E-4</v>
          </cell>
          <cell r="I569">
            <v>4.3255683361174025E-4</v>
          </cell>
        </row>
        <row r="570">
          <cell r="A570" t="str">
            <v>RHEM-SHCONBR</v>
          </cell>
          <cell r="B570" t="str">
            <v>VAR_fin</v>
          </cell>
          <cell r="C570" t="str">
            <v>CON</v>
          </cell>
          <cell r="F570">
            <v>2.2409779815641483E-4</v>
          </cell>
          <cell r="G570">
            <v>2.5015827709360397E-4</v>
          </cell>
          <cell r="H570">
            <v>3.80724993333568E-4</v>
          </cell>
          <cell r="I570">
            <v>4.3255683361174025E-4</v>
          </cell>
        </row>
        <row r="571">
          <cell r="A571" t="str">
            <v>RHEM-SHCONBR</v>
          </cell>
          <cell r="B571" t="str">
            <v>VAR_ncap</v>
          </cell>
          <cell r="C571" t="str">
            <v>-</v>
          </cell>
          <cell r="D571">
            <v>2.5655648218653299E-8</v>
          </cell>
          <cell r="E571">
            <v>5.0313962880597903E-8</v>
          </cell>
          <cell r="F571">
            <v>1.91456754987262E-5</v>
          </cell>
          <cell r="G571">
            <v>3.8780902975123702E-7</v>
          </cell>
          <cell r="H571">
            <v>4.8156222512678204E-7</v>
          </cell>
          <cell r="I571">
            <v>2.0513962306671401E-6</v>
          </cell>
        </row>
        <row r="572">
          <cell r="A572" t="str">
            <v>RHEM-SHCONBR</v>
          </cell>
          <cell r="B572" t="str">
            <v>VAR_cap</v>
          </cell>
          <cell r="C572" t="str">
            <v>-</v>
          </cell>
          <cell r="D572">
            <v>2.5655648218653299E-8</v>
          </cell>
          <cell r="E572">
            <v>-1.3305895458118289E-7</v>
          </cell>
          <cell r="F572">
            <v>1.9161534821535472E-5</v>
          </cell>
          <cell r="G572">
            <v>1.9543158185640936E-5</v>
          </cell>
          <cell r="H572">
            <v>3.0171401491429553E-5</v>
          </cell>
          <cell r="I572">
            <v>3.2374232446645298E-5</v>
          </cell>
        </row>
        <row r="573">
          <cell r="A573" t="str">
            <v>RHEM-SHSOLBR</v>
          </cell>
          <cell r="B573" t="str">
            <v>VAR_fout</v>
          </cell>
          <cell r="C573" t="str">
            <v>RHEM-SHASOL</v>
          </cell>
          <cell r="D573">
            <v>0.40801311915029259</v>
          </cell>
          <cell r="E573">
            <v>0.47087712902304835</v>
          </cell>
          <cell r="F573">
            <v>9.9056575723680349E-3</v>
          </cell>
          <cell r="G573">
            <v>1.3023280364102193E-2</v>
          </cell>
          <cell r="H573">
            <v>1.4301526634077391E-2</v>
          </cell>
          <cell r="I573">
            <v>1.3800977926418176E-2</v>
          </cell>
        </row>
        <row r="574">
          <cell r="A574" t="str">
            <v>RHEM-SHSOLBR</v>
          </cell>
          <cell r="B574" t="str">
            <v>VAR_fin</v>
          </cell>
          <cell r="C574" t="str">
            <v>SOL</v>
          </cell>
          <cell r="D574">
            <v>0.40801311915029259</v>
          </cell>
          <cell r="E574">
            <v>0.47087712902304835</v>
          </cell>
          <cell r="F574">
            <v>9.9056575723680349E-3</v>
          </cell>
          <cell r="G574">
            <v>1.3023280364102193E-2</v>
          </cell>
          <cell r="H574">
            <v>1.4301526634077391E-2</v>
          </cell>
          <cell r="I574">
            <v>1.3800977926418176E-2</v>
          </cell>
        </row>
        <row r="575">
          <cell r="A575" t="str">
            <v>RHEM-SHSOLBR</v>
          </cell>
          <cell r="B575" t="str">
            <v>VAR_ncap</v>
          </cell>
          <cell r="C575" t="str">
            <v>-</v>
          </cell>
          <cell r="D575">
            <v>1.10058575661361E-4</v>
          </cell>
          <cell r="E575">
            <v>9.0411971146700399E-3</v>
          </cell>
          <cell r="F575">
            <v>4.9812287686518298E-7</v>
          </cell>
          <cell r="G575">
            <v>5.1657007901174299E-7</v>
          </cell>
          <cell r="H575">
            <v>2.1787114561710999E-3</v>
          </cell>
          <cell r="I575">
            <v>1.0804294185318699E-3</v>
          </cell>
        </row>
        <row r="576">
          <cell r="A576" t="str">
            <v>RHEM-SHSOLBR</v>
          </cell>
          <cell r="B576" t="str">
            <v>VAR_cap</v>
          </cell>
          <cell r="C576" t="str">
            <v>-</v>
          </cell>
          <cell r="D576">
            <v>5.9364979992699664E-2</v>
          </cell>
          <cell r="E576">
            <v>6.8406090596383515E-2</v>
          </cell>
          <cell r="F576">
            <v>6.8405653690545382E-2</v>
          </cell>
          <cell r="G576">
            <v>6.8406050382833261E-2</v>
          </cell>
          <cell r="H576">
            <v>2.1811637325540498E-3</v>
          </cell>
          <cell r="I576">
            <v>2.6623009362966785E-3</v>
          </cell>
        </row>
        <row r="577">
          <cell r="A577" t="str">
            <v>SCOM-SHH2BR</v>
          </cell>
          <cell r="B577" t="str">
            <v>VAR_ncap</v>
          </cell>
          <cell r="C577" t="str">
            <v>-</v>
          </cell>
          <cell r="G577">
            <v>1.4013393269140999E-6</v>
          </cell>
          <cell r="H577">
            <v>0.47365480522479297</v>
          </cell>
          <cell r="I577">
            <v>0.590763682942677</v>
          </cell>
        </row>
        <row r="578">
          <cell r="A578" t="str">
            <v>SCOM-SHH2BR</v>
          </cell>
          <cell r="B578" t="str">
            <v>VAR_cap</v>
          </cell>
          <cell r="C578" t="str">
            <v>-</v>
          </cell>
          <cell r="G578">
            <v>1.4013393269140999E-6</v>
          </cell>
          <cell r="H578">
            <v>1.5214397118808889</v>
          </cell>
          <cell r="I578">
            <v>1.3777170977546433</v>
          </cell>
        </row>
        <row r="579">
          <cell r="A579" t="str">
            <v>ITOT-SWHCONBR1</v>
          </cell>
          <cell r="B579" t="str">
            <v>VAR_fout</v>
          </cell>
          <cell r="C579" t="str">
            <v>ITOT-ELS</v>
          </cell>
          <cell r="E579">
            <v>1.3236942520657539E-2</v>
          </cell>
          <cell r="F579">
            <v>1.3238215222161164E-2</v>
          </cell>
          <cell r="G579">
            <v>2.0699741634512988E-2</v>
          </cell>
          <cell r="H579">
            <v>2.1191115445430776E-2</v>
          </cell>
          <cell r="I579">
            <v>2.1191173544551065E-2</v>
          </cell>
        </row>
        <row r="580">
          <cell r="A580" t="str">
            <v>ITOT-SWHCONBR1</v>
          </cell>
          <cell r="B580" t="str">
            <v>VAR_fout</v>
          </cell>
          <cell r="C580" t="str">
            <v>ITOT-SWHC</v>
          </cell>
          <cell r="E580">
            <v>3.4732366065024247</v>
          </cell>
          <cell r="F580">
            <v>3.4735705501940801</v>
          </cell>
          <cell r="G580">
            <v>5.4313977928009907</v>
          </cell>
          <cell r="H580">
            <v>5.5603291910368631</v>
          </cell>
          <cell r="I580">
            <v>5.5603444356442226</v>
          </cell>
        </row>
        <row r="581">
          <cell r="A581" t="str">
            <v>ITOT-SWHCONBR1</v>
          </cell>
          <cell r="B581" t="str">
            <v>VAR_fin</v>
          </cell>
          <cell r="C581" t="str">
            <v>CON</v>
          </cell>
          <cell r="E581">
            <v>3.4864735490230876</v>
          </cell>
          <cell r="F581">
            <v>3.4868087654162427</v>
          </cell>
          <cell r="G581">
            <v>5.4520975344354996</v>
          </cell>
          <cell r="H581">
            <v>5.5815203064822967</v>
          </cell>
          <cell r="I581">
            <v>5.5815356091887747</v>
          </cell>
        </row>
        <row r="582">
          <cell r="A582" t="str">
            <v>ITOT-SWHCONBR1</v>
          </cell>
          <cell r="B582" t="str">
            <v>VAR_ncap</v>
          </cell>
          <cell r="C582" t="str">
            <v>-</v>
          </cell>
          <cell r="E582">
            <v>0.189612461571327</v>
          </cell>
          <cell r="F582">
            <v>1.9125549988827698E-5</v>
          </cell>
          <cell r="G582">
            <v>0.10687381981739801</v>
          </cell>
          <cell r="H582">
            <v>0.13443022206173799</v>
          </cell>
          <cell r="I582">
            <v>0.165327397164619</v>
          </cell>
        </row>
        <row r="583">
          <cell r="A583" t="str">
            <v>ITOT-SWHCONBR1</v>
          </cell>
          <cell r="B583" t="str">
            <v>VAR_cap</v>
          </cell>
          <cell r="C583" t="str">
            <v>-</v>
          </cell>
          <cell r="E583">
            <v>0.189612461571327</v>
          </cell>
          <cell r="F583">
            <v>0.189631587121316</v>
          </cell>
          <cell r="G583">
            <v>0.29650540693871502</v>
          </cell>
          <cell r="H583">
            <v>0.30354700272164198</v>
          </cell>
          <cell r="I583">
            <v>0.303546177605856</v>
          </cell>
        </row>
        <row r="584">
          <cell r="A584" t="str">
            <v>SCOM-SHLTHCHPWOD</v>
          </cell>
          <cell r="B584" t="str">
            <v>VAR_ncap</v>
          </cell>
          <cell r="C584" t="str">
            <v>-</v>
          </cell>
          <cell r="G584">
            <v>9.7067003297903696E-5</v>
          </cell>
          <cell r="H584">
            <v>1.20517995140436E-4</v>
          </cell>
          <cell r="I584">
            <v>4.0571119515976998E-5</v>
          </cell>
        </row>
        <row r="585">
          <cell r="A585" t="str">
            <v>SCOM-SHLTHCHPWOD</v>
          </cell>
          <cell r="B585" t="str">
            <v>VAR_cap</v>
          </cell>
          <cell r="C585" t="str">
            <v>-</v>
          </cell>
          <cell r="G585">
            <v>9.7067003297903696E-5</v>
          </cell>
          <cell r="H585">
            <v>1.8844138100396299E-4</v>
          </cell>
          <cell r="I585">
            <v>7.3941801575593013E-5</v>
          </cell>
        </row>
        <row r="586">
          <cell r="A586" t="str">
            <v>SCOM-SHSTG-NGAHP</v>
          </cell>
          <cell r="B586" t="str">
            <v>VAR_fout</v>
          </cell>
          <cell r="C586" t="str">
            <v>SCOM-SHANGAH</v>
          </cell>
          <cell r="D586">
            <v>4.5395903886391578E-5</v>
          </cell>
          <cell r="E586">
            <v>4.6288652877487046E-5</v>
          </cell>
          <cell r="F586">
            <v>1.5317610638914934E-5</v>
          </cell>
          <cell r="G586">
            <v>1.3435552701621823E-5</v>
          </cell>
          <cell r="H586">
            <v>2.4621928066160746E-5</v>
          </cell>
          <cell r="I586">
            <v>8.0729284282562991E-6</v>
          </cell>
        </row>
        <row r="587">
          <cell r="A587" t="str">
            <v>SCOM-SHSTG-NGAHP</v>
          </cell>
          <cell r="B587" t="str">
            <v>VAR_fin</v>
          </cell>
          <cell r="C587" t="str">
            <v>SCOM-SHANGAH</v>
          </cell>
          <cell r="D587">
            <v>4.5395903886391578E-5</v>
          </cell>
          <cell r="E587">
            <v>4.6288652877487046E-5</v>
          </cell>
          <cell r="F587">
            <v>1.9748525418930309E-5</v>
          </cell>
          <cell r="G587">
            <v>1.7925108908640649E-5</v>
          </cell>
          <cell r="H587">
            <v>2.9606669446093084E-5</v>
          </cell>
          <cell r="I587">
            <v>8.6440801924421496E-6</v>
          </cell>
        </row>
        <row r="588">
          <cell r="A588" t="str">
            <v>SCOM-SHSTG-NGAHP</v>
          </cell>
          <cell r="B588" t="str">
            <v>VAR_ncap</v>
          </cell>
          <cell r="C588" t="str">
            <v>-</v>
          </cell>
          <cell r="D588">
            <v>1.40518552650302E-3</v>
          </cell>
          <cell r="E588">
            <v>1.11453365501294E-5</v>
          </cell>
          <cell r="F588">
            <v>3.8698107456831499E-2</v>
          </cell>
          <cell r="G588">
            <v>3.9761135654212999E-2</v>
          </cell>
          <cell r="H588">
            <v>6.5009830297883903E-2</v>
          </cell>
          <cell r="I588">
            <v>4.5171260820313301E-2</v>
          </cell>
        </row>
        <row r="589">
          <cell r="A589" t="str">
            <v>SCOM-SHSTG-NGAHP</v>
          </cell>
          <cell r="B589" t="str">
            <v>VAR_cap</v>
          </cell>
          <cell r="C589" t="str">
            <v>-</v>
          </cell>
          <cell r="D589">
            <v>1.40518552650302E-3</v>
          </cell>
          <cell r="E589">
            <v>1.6001861929379945E-5</v>
          </cell>
          <cell r="F589">
            <v>3.8707412352712613E-2</v>
          </cell>
          <cell r="G589">
            <v>7.8450919896641894E-2</v>
          </cell>
          <cell r="H589">
            <v>0.12029917724133608</v>
          </cell>
          <cell r="I589">
            <v>0.10132857450678101</v>
          </cell>
        </row>
        <row r="590">
          <cell r="A590" t="str">
            <v>ITOT-SWHCONBR2</v>
          </cell>
          <cell r="B590" t="str">
            <v>VAR_fout</v>
          </cell>
          <cell r="C590" t="str">
            <v>ITOT-ELS</v>
          </cell>
          <cell r="E590">
            <v>0.48734979319198013</v>
          </cell>
          <cell r="F590">
            <v>0.48726590000571157</v>
          </cell>
          <cell r="G590">
            <v>0.48710133924560545</v>
          </cell>
          <cell r="H590">
            <v>0.48735924430140121</v>
          </cell>
          <cell r="I590">
            <v>0.48736564591842507</v>
          </cell>
        </row>
        <row r="591">
          <cell r="A591" t="str">
            <v>ITOT-SWHCONBR2</v>
          </cell>
          <cell r="B591" t="str">
            <v>VAR_fout</v>
          </cell>
          <cell r="C591" t="str">
            <v>ITOT-SWHC</v>
          </cell>
          <cell r="E591">
            <v>0.75334951548073847</v>
          </cell>
          <cell r="F591">
            <v>0.75321983266952219</v>
          </cell>
          <cell r="G591">
            <v>0.75296545322661412</v>
          </cell>
          <cell r="H591">
            <v>0.75336412508723305</v>
          </cell>
          <cell r="I591">
            <v>0.75337402076206639</v>
          </cell>
        </row>
        <row r="592">
          <cell r="A592" t="str">
            <v>ITOT-SWHCONBR2</v>
          </cell>
          <cell r="B592" t="str">
            <v>VAR_fin</v>
          </cell>
          <cell r="C592" t="str">
            <v>CON</v>
          </cell>
          <cell r="E592">
            <v>1.2406993086727189</v>
          </cell>
          <cell r="F592">
            <v>1.2404857326752323</v>
          </cell>
          <cell r="G592">
            <v>1.2400667924722195</v>
          </cell>
          <cell r="H592">
            <v>1.2407233693886326</v>
          </cell>
          <cell r="I592">
            <v>1.2407396666804926</v>
          </cell>
        </row>
        <row r="593">
          <cell r="A593" t="str">
            <v>ITOT-SWHCONBR2</v>
          </cell>
          <cell r="B593" t="str">
            <v>VAR_ncap</v>
          </cell>
          <cell r="C593" t="str">
            <v>-</v>
          </cell>
          <cell r="E593">
            <v>6.7474490981186006E-2</v>
          </cell>
          <cell r="F593">
            <v>9.3040316414637305E-8</v>
          </cell>
          <cell r="G593">
            <v>1.25769659541471E-7</v>
          </cell>
          <cell r="H593">
            <v>3.4744612062054599E-2</v>
          </cell>
          <cell r="I593">
            <v>2.8424854597995899E-2</v>
          </cell>
        </row>
        <row r="594">
          <cell r="A594" t="str">
            <v>ITOT-SWHCONBR2</v>
          </cell>
          <cell r="B594" t="str">
            <v>VAR_cap</v>
          </cell>
          <cell r="C594" t="str">
            <v>-</v>
          </cell>
          <cell r="E594">
            <v>6.7474490981186006E-2</v>
          </cell>
          <cell r="F594">
            <v>6.7474584021502401E-2</v>
          </cell>
          <cell r="G594">
            <v>6.7474709791162005E-2</v>
          </cell>
          <cell r="H594">
            <v>6.74792804293467E-2</v>
          </cell>
          <cell r="I594">
            <v>6.74867306728196E-2</v>
          </cell>
        </row>
        <row r="595">
          <cell r="A595" t="str">
            <v>RHES-SHCONBR1</v>
          </cell>
          <cell r="B595" t="str">
            <v>VAR_fout</v>
          </cell>
          <cell r="C595" t="str">
            <v>RHES-SHCON</v>
          </cell>
          <cell r="D595">
            <v>1.6046261625949153E-2</v>
          </cell>
          <cell r="E595">
            <v>1.1276320672362274</v>
          </cell>
          <cell r="F595">
            <v>0.69388762193979736</v>
          </cell>
          <cell r="G595">
            <v>2.6068136830054858</v>
          </cell>
          <cell r="H595">
            <v>5.0347526055304597</v>
          </cell>
          <cell r="I595">
            <v>6.4142223550395254</v>
          </cell>
        </row>
        <row r="596">
          <cell r="A596" t="str">
            <v>RHES-SHCONBR1</v>
          </cell>
          <cell r="B596" t="str">
            <v>VAR_fin</v>
          </cell>
          <cell r="C596" t="str">
            <v>CON</v>
          </cell>
          <cell r="D596">
            <v>1.6046261625949153E-2</v>
          </cell>
          <cell r="E596">
            <v>1.1276320672362274</v>
          </cell>
          <cell r="F596">
            <v>0.69388762193979736</v>
          </cell>
          <cell r="G596">
            <v>2.6068136830054858</v>
          </cell>
          <cell r="H596">
            <v>5.0347526055304597</v>
          </cell>
          <cell r="I596">
            <v>6.4142223550395254</v>
          </cell>
        </row>
        <row r="597">
          <cell r="A597" t="str">
            <v>RHES-SHCONBR1</v>
          </cell>
          <cell r="B597" t="str">
            <v>VAR_ncap</v>
          </cell>
          <cell r="C597" t="str">
            <v>-</v>
          </cell>
          <cell r="D597">
            <v>4.5549581045409397E-2</v>
          </cell>
          <cell r="E597">
            <v>4.55495777566432E-2</v>
          </cell>
          <cell r="F597">
            <v>5.0939780774823802E-7</v>
          </cell>
          <cell r="G597">
            <v>0.119513296821968</v>
          </cell>
          <cell r="H597">
            <v>4.4533809055326397E-2</v>
          </cell>
          <cell r="I597">
            <v>0.15337515534291801</v>
          </cell>
        </row>
        <row r="598">
          <cell r="A598" t="str">
            <v>RHES-SHCONBR1</v>
          </cell>
          <cell r="B598" t="str">
            <v>VAR_cap</v>
          </cell>
          <cell r="C598" t="str">
            <v>-</v>
          </cell>
          <cell r="D598">
            <v>4.5549581045409397E-2</v>
          </cell>
          <cell r="E598">
            <v>9.1099147495885532E-2</v>
          </cell>
          <cell r="F598">
            <v>9.1099250143559962E-2</v>
          </cell>
          <cell r="G598">
            <v>0.21061278185422971</v>
          </cell>
          <cell r="H598">
            <v>0.40676732366475576</v>
          </cell>
          <cell r="I598">
            <v>0.51821890705220042</v>
          </cell>
        </row>
        <row r="599">
          <cell r="A599" t="str">
            <v>ITOT-SWHCONBR3</v>
          </cell>
          <cell r="B599" t="str">
            <v>VAR_fout</v>
          </cell>
          <cell r="C599" t="str">
            <v>ITOT-ELS</v>
          </cell>
          <cell r="E599">
            <v>2.1770455299946131E-3</v>
          </cell>
          <cell r="F599">
            <v>2.1765178481611275E-3</v>
          </cell>
          <cell r="G599">
            <v>2.1768581702139946E-3</v>
          </cell>
          <cell r="H599">
            <v>2.6525125307296305E-3</v>
          </cell>
          <cell r="I599">
            <v>0.28968116157457346</v>
          </cell>
        </row>
        <row r="600">
          <cell r="A600" t="str">
            <v>ITOT-SWHCONBR3</v>
          </cell>
          <cell r="B600" t="str">
            <v>VAR_fout</v>
          </cell>
          <cell r="C600" t="str">
            <v>ITOT-SWHC</v>
          </cell>
          <cell r="E600">
            <v>4.3204703506492916E-3</v>
          </cell>
          <cell r="F600">
            <v>4.3194231361171429E-3</v>
          </cell>
          <cell r="G600">
            <v>4.3200985245363749E-3</v>
          </cell>
          <cell r="H600">
            <v>5.2640615852308044E-3</v>
          </cell>
          <cell r="I600">
            <v>0.57488869776999563</v>
          </cell>
        </row>
        <row r="601">
          <cell r="A601" t="str">
            <v>ITOT-SWHCONBR3</v>
          </cell>
          <cell r="B601" t="str">
            <v>VAR_fin</v>
          </cell>
          <cell r="C601" t="str">
            <v>CON</v>
          </cell>
          <cell r="E601">
            <v>6.4975158806439021E-3</v>
          </cell>
          <cell r="F601">
            <v>6.4959409842782713E-3</v>
          </cell>
          <cell r="G601">
            <v>6.4969566947503691E-3</v>
          </cell>
          <cell r="H601">
            <v>7.9165741159604331E-3</v>
          </cell>
          <cell r="I601">
            <v>0.86456985934456931</v>
          </cell>
        </row>
        <row r="602">
          <cell r="A602" t="str">
            <v>ITOT-SWHCONBR3</v>
          </cell>
          <cell r="B602" t="str">
            <v>VAR_ncap</v>
          </cell>
          <cell r="C602" t="str">
            <v>-</v>
          </cell>
          <cell r="E602">
            <v>3.5287381828250899E-4</v>
          </cell>
          <cell r="F602">
            <v>1.0656599398169101E-7</v>
          </cell>
          <cell r="G602">
            <v>1.40139282635782E-7</v>
          </cell>
          <cell r="H602">
            <v>9.7608206956879698E-5</v>
          </cell>
          <cell r="I602">
            <v>4.6812706915381003E-2</v>
          </cell>
        </row>
        <row r="603">
          <cell r="A603" t="str">
            <v>ITOT-SWHCONBR3</v>
          </cell>
          <cell r="B603" t="str">
            <v>VAR_cap</v>
          </cell>
          <cell r="C603" t="str">
            <v>-</v>
          </cell>
          <cell r="E603">
            <v>3.5287381828250899E-4</v>
          </cell>
          <cell r="F603">
            <v>3.5298038427649102E-4</v>
          </cell>
          <cell r="G603">
            <v>3.53120523559127E-4</v>
          </cell>
          <cell r="H603">
            <v>4.2978445448807099E-4</v>
          </cell>
          <cell r="I603">
            <v>4.7024004769109902E-2</v>
          </cell>
        </row>
        <row r="604">
          <cell r="A604" t="str">
            <v>ITOT-ELCSPECADV</v>
          </cell>
          <cell r="B604" t="str">
            <v>VAR_fout</v>
          </cell>
          <cell r="C604" t="str">
            <v>ITOT-ELS</v>
          </cell>
          <cell r="G604">
            <v>3.8072052302402142E-4</v>
          </cell>
          <cell r="H604">
            <v>2.2137072635781572E-3</v>
          </cell>
          <cell r="I604">
            <v>12.350861649611472</v>
          </cell>
        </row>
        <row r="605">
          <cell r="A605" t="str">
            <v>ITOT-ELCSPECADV</v>
          </cell>
          <cell r="B605" t="str">
            <v>VAR_fin</v>
          </cell>
          <cell r="C605" t="str">
            <v>ITOT_ELC</v>
          </cell>
          <cell r="G605">
            <v>3.2781168921126245E-4</v>
          </cell>
          <cell r="H605">
            <v>1.8133336457655449E-3</v>
          </cell>
          <cell r="I605">
            <v>9.067859074214784</v>
          </cell>
        </row>
        <row r="606">
          <cell r="A606" t="str">
            <v>ITOT-ELCSPECADV</v>
          </cell>
          <cell r="B606" t="str">
            <v>VAR_ncap</v>
          </cell>
          <cell r="C606" t="str">
            <v>-</v>
          </cell>
          <cell r="G606">
            <v>4.2045931332223603E-5</v>
          </cell>
          <cell r="H606">
            <v>1.34244748387924E-5</v>
          </cell>
          <cell r="I606">
            <v>0.67156560580699698</v>
          </cell>
        </row>
        <row r="607">
          <cell r="A607" t="str">
            <v>ITOT-ELCSPECADV</v>
          </cell>
          <cell r="B607" t="str">
            <v>VAR_cap</v>
          </cell>
          <cell r="C607" t="str">
            <v>-</v>
          </cell>
          <cell r="G607">
            <v>4.2045931332223603E-5</v>
          </cell>
          <cell r="H607">
            <v>1.2441319681734506E-4</v>
          </cell>
          <cell r="I607">
            <v>0.67167508130021669</v>
          </cell>
        </row>
        <row r="608">
          <cell r="A608" t="str">
            <v>RHES-SHELCBR</v>
          </cell>
          <cell r="B608" t="str">
            <v>VAR_fout</v>
          </cell>
          <cell r="C608" t="str">
            <v>RHES-SHAELCB</v>
          </cell>
          <cell r="D608">
            <v>4.279983306349445</v>
          </cell>
          <cell r="E608">
            <v>4.4886677528541536</v>
          </cell>
          <cell r="F608">
            <v>0.77353842726928812</v>
          </cell>
          <cell r="G608">
            <v>0.12956100104595195</v>
          </cell>
          <cell r="H608">
            <v>1.4490525956134339E-3</v>
          </cell>
          <cell r="I608">
            <v>2.6555126650672873E-4</v>
          </cell>
        </row>
        <row r="609">
          <cell r="A609" t="str">
            <v>RHES-SHELCBR</v>
          </cell>
          <cell r="B609" t="str">
            <v>VAR_fin</v>
          </cell>
          <cell r="C609" t="str">
            <v>RHES_ELC</v>
          </cell>
          <cell r="D609">
            <v>4.5052455856309992</v>
          </cell>
          <cell r="E609">
            <v>4.7249134240570028</v>
          </cell>
          <cell r="F609">
            <v>0.84483335831206707</v>
          </cell>
          <cell r="G609">
            <v>0.14150228580928656</v>
          </cell>
          <cell r="H609">
            <v>1.5826078286046658E-3</v>
          </cell>
          <cell r="I609">
            <v>2.900264038321675E-4</v>
          </cell>
        </row>
        <row r="610">
          <cell r="A610" t="str">
            <v>RHES-SHELCBR</v>
          </cell>
          <cell r="B610" t="str">
            <v>VAR_ncap</v>
          </cell>
          <cell r="C610" t="str">
            <v>-</v>
          </cell>
          <cell r="D610">
            <v>8.0710960727798794E-8</v>
          </cell>
          <cell r="E610">
            <v>1.6881100616577101E-2</v>
          </cell>
          <cell r="F610">
            <v>1.8759503902888601E-7</v>
          </cell>
          <cell r="G610">
            <v>4.0159928090195899E-7</v>
          </cell>
          <cell r="H610">
            <v>1.4130695796490801E-4</v>
          </cell>
          <cell r="I610">
            <v>1.58614719231389E-7</v>
          </cell>
        </row>
        <row r="611">
          <cell r="A611" t="str">
            <v>RHES-SHELCBR</v>
          </cell>
          <cell r="B611" t="str">
            <v>VAR_cap</v>
          </cell>
          <cell r="C611" t="str">
            <v>-</v>
          </cell>
          <cell r="D611">
            <v>0.34576938058729373</v>
          </cell>
          <cell r="E611">
            <v>0.36265035546077468</v>
          </cell>
          <cell r="F611">
            <v>0.1094132317455378</v>
          </cell>
          <cell r="G611">
            <v>1.8947303740355803E-2</v>
          </cell>
          <cell r="H611">
            <v>1.4415077187053616E-4</v>
          </cell>
          <cell r="I611">
            <v>2.1387267687723201E-5</v>
          </cell>
        </row>
        <row r="612">
          <cell r="A612" t="str">
            <v>RHSA-WHELCBR</v>
          </cell>
          <cell r="B612" t="str">
            <v>VAR_fout</v>
          </cell>
          <cell r="C612" t="str">
            <v>RHSA-WHAELCB</v>
          </cell>
          <cell r="D612">
            <v>6.6447045345847693</v>
          </cell>
          <cell r="E612">
            <v>6.9687096588663344</v>
          </cell>
          <cell r="F612">
            <v>2.7566218788259924</v>
          </cell>
          <cell r="G612">
            <v>1.9168829393789122</v>
          </cell>
          <cell r="H612">
            <v>1.6199607331590304</v>
          </cell>
          <cell r="I612">
            <v>1.4273562486380438</v>
          </cell>
        </row>
        <row r="613">
          <cell r="A613" t="str">
            <v>RHSA-WHELCBR</v>
          </cell>
          <cell r="B613" t="str">
            <v>VAR_fin</v>
          </cell>
          <cell r="C613" t="str">
            <v>RHSA_ELC</v>
          </cell>
          <cell r="D613">
            <v>8.4110183982085651</v>
          </cell>
          <cell r="E613">
            <v>8.7988758319019365</v>
          </cell>
          <cell r="F613">
            <v>5.919643230475562</v>
          </cell>
          <cell r="G613">
            <v>3.939427443568297</v>
          </cell>
          <cell r="H613">
            <v>3.2044130375864004</v>
          </cell>
          <cell r="I613">
            <v>2.7398904147376424</v>
          </cell>
        </row>
        <row r="614">
          <cell r="A614" t="str">
            <v>RHSA-WHELCBR</v>
          </cell>
          <cell r="B614" t="str">
            <v>VAR_ncap</v>
          </cell>
          <cell r="C614" t="str">
            <v>-</v>
          </cell>
          <cell r="D614">
            <v>1.3096050340799999E-5</v>
          </cell>
          <cell r="E614">
            <v>3.4223010142392603E-2</v>
          </cell>
          <cell r="F614">
            <v>4.7015240911094598E-7</v>
          </cell>
          <cell r="G614">
            <v>8.4191239928388999E-7</v>
          </cell>
          <cell r="H614">
            <v>6.0358923113501599E-2</v>
          </cell>
          <cell r="I614">
            <v>5.46501855621652E-2</v>
          </cell>
        </row>
        <row r="615">
          <cell r="A615" t="str">
            <v>RHSA-WHELCBR</v>
          </cell>
          <cell r="B615" t="str">
            <v>VAR_cap</v>
          </cell>
          <cell r="C615" t="str">
            <v>-</v>
          </cell>
          <cell r="D615">
            <v>0.43758168482401777</v>
          </cell>
          <cell r="E615">
            <v>0.47180428379928246</v>
          </cell>
          <cell r="F615">
            <v>0.32892200611984856</v>
          </cell>
          <cell r="G615">
            <v>0.24380667649817278</v>
          </cell>
          <cell r="H615">
            <v>0.12916048887091991</v>
          </cell>
          <cell r="I615">
            <v>0.12755664356107071</v>
          </cell>
        </row>
        <row r="616">
          <cell r="A616" t="str">
            <v>ITOT-SWHLTHDH</v>
          </cell>
          <cell r="B616" t="str">
            <v>VAR_fout</v>
          </cell>
          <cell r="C616" t="str">
            <v>ITOT-SWH</v>
          </cell>
          <cell r="D616">
            <v>6.582281546239158</v>
          </cell>
          <cell r="E616">
            <v>7.0678500264185695</v>
          </cell>
          <cell r="F616">
            <v>6.8124896004855255</v>
          </cell>
          <cell r="G616">
            <v>6.4295836092677785</v>
          </cell>
          <cell r="H616">
            <v>8.2070676745328583</v>
          </cell>
          <cell r="I616">
            <v>5.427677025969178</v>
          </cell>
        </row>
        <row r="617">
          <cell r="A617" t="str">
            <v>ITOT-SWHLTHDH</v>
          </cell>
          <cell r="B617" t="str">
            <v>VAR_fin</v>
          </cell>
          <cell r="C617" t="str">
            <v>ITOT_LTH_DH</v>
          </cell>
          <cell r="D617">
            <v>7.1200114207313234</v>
          </cell>
          <cell r="E617">
            <v>7.6289076313582243</v>
          </cell>
          <cell r="F617">
            <v>7.329777532220243</v>
          </cell>
          <cell r="G617">
            <v>6.8811466718712637</v>
          </cell>
          <cell r="H617">
            <v>8.6913747142273419</v>
          </cell>
          <cell r="I617">
            <v>5.713344237862291</v>
          </cell>
        </row>
        <row r="618">
          <cell r="A618" t="str">
            <v>ITOT-SWHLTHDH</v>
          </cell>
          <cell r="B618" t="str">
            <v>VAR_fin</v>
          </cell>
          <cell r="C618" t="str">
            <v>ITOTLTHDHC</v>
          </cell>
          <cell r="D618">
            <v>6.582281546239158</v>
          </cell>
          <cell r="E618">
            <v>7.0678500264185695</v>
          </cell>
          <cell r="F618">
            <v>6.8124896004855255</v>
          </cell>
          <cell r="G618">
            <v>6.4295836092677785</v>
          </cell>
          <cell r="H618">
            <v>8.2070676745328583</v>
          </cell>
          <cell r="I618">
            <v>5.427677025969178</v>
          </cell>
        </row>
        <row r="619">
          <cell r="A619" t="str">
            <v>ITOT-SWHLTHDH</v>
          </cell>
          <cell r="B619" t="str">
            <v>VAR_ncap</v>
          </cell>
          <cell r="C619" t="str">
            <v>-</v>
          </cell>
          <cell r="E619">
            <v>4.7396097319987299E-2</v>
          </cell>
          <cell r="F619">
            <v>6.68632206733943E-2</v>
          </cell>
          <cell r="G619">
            <v>5.0073550369533003E-2</v>
          </cell>
          <cell r="H619">
            <v>0.17883314058463501</v>
          </cell>
          <cell r="I619">
            <v>0.187358547524521</v>
          </cell>
        </row>
        <row r="620">
          <cell r="A620" t="str">
            <v>ITOT-SWHLTHDH</v>
          </cell>
          <cell r="B620" t="str">
            <v>VAR_cap</v>
          </cell>
          <cell r="C620" t="str">
            <v>-</v>
          </cell>
          <cell r="D620">
            <v>0.79547229253225304</v>
          </cell>
          <cell r="E620">
            <v>0.66532565347629635</v>
          </cell>
          <cell r="F620">
            <v>0.655750918776978</v>
          </cell>
          <cell r="G620">
            <v>0.47141763460092212</v>
          </cell>
          <cell r="H620">
            <v>0.63483709274336009</v>
          </cell>
          <cell r="I620">
            <v>0.46956374673779294</v>
          </cell>
        </row>
        <row r="621">
          <cell r="A621" t="str">
            <v>RHES-SHCONBR2</v>
          </cell>
          <cell r="B621" t="str">
            <v>VAR_fout</v>
          </cell>
          <cell r="C621" t="str">
            <v>RHES-SHCON</v>
          </cell>
          <cell r="D621">
            <v>1.4941087531759019E-2</v>
          </cell>
          <cell r="E621">
            <v>0.82065264225248591</v>
          </cell>
          <cell r="F621">
            <v>0.48694600234815671</v>
          </cell>
          <cell r="G621">
            <v>0.82075322865109412</v>
          </cell>
          <cell r="H621">
            <v>2.9191601712526412</v>
          </cell>
          <cell r="I621">
            <v>4.6680550862200896</v>
          </cell>
        </row>
        <row r="622">
          <cell r="A622" t="str">
            <v>RHES-SHCONBR2</v>
          </cell>
          <cell r="B622" t="str">
            <v>VAR_fin</v>
          </cell>
          <cell r="C622" t="str">
            <v>CON</v>
          </cell>
          <cell r="D622">
            <v>1.4941087531759019E-2</v>
          </cell>
          <cell r="E622">
            <v>0.82065264225248591</v>
          </cell>
          <cell r="F622">
            <v>0.48694600234815671</v>
          </cell>
          <cell r="G622">
            <v>0.82075322865109412</v>
          </cell>
          <cell r="H622">
            <v>2.9191601712526412</v>
          </cell>
          <cell r="I622">
            <v>4.6680550862200896</v>
          </cell>
        </row>
        <row r="623">
          <cell r="A623" t="str">
            <v>RHES-SHCONBR2</v>
          </cell>
          <cell r="B623" t="str">
            <v>VAR_ncap</v>
          </cell>
          <cell r="C623" t="str">
            <v>-</v>
          </cell>
          <cell r="D623">
            <v>3.3149457469544598E-2</v>
          </cell>
          <cell r="E623">
            <v>3.3149454637953303E-2</v>
          </cell>
          <cell r="F623">
            <v>5.03206660265344E-7</v>
          </cell>
          <cell r="G623">
            <v>2.1616397975776599E-5</v>
          </cell>
          <cell r="H623">
            <v>0.121144808928243</v>
          </cell>
          <cell r="I623">
            <v>0.17179609494811901</v>
          </cell>
        </row>
        <row r="624">
          <cell r="A624" t="str">
            <v>RHES-SHCONBR2</v>
          </cell>
          <cell r="B624" t="str">
            <v>VAR_cap</v>
          </cell>
          <cell r="C624" t="str">
            <v>-</v>
          </cell>
          <cell r="D624">
            <v>3.3149457469544598E-2</v>
          </cell>
          <cell r="E624">
            <v>6.6298901076406208E-2</v>
          </cell>
          <cell r="F624">
            <v>6.6299001776330732E-2</v>
          </cell>
          <cell r="G624">
            <v>6.6320850230099287E-2</v>
          </cell>
          <cell r="H624">
            <v>0.23585296772614872</v>
          </cell>
          <cell r="I624">
            <v>0.37713849005260541</v>
          </cell>
        </row>
        <row r="625">
          <cell r="A625" t="str">
            <v>ITOT-SWHCONBR4</v>
          </cell>
          <cell r="B625" t="str">
            <v>VAR_fout</v>
          </cell>
          <cell r="C625" t="str">
            <v>ITOT-ELS</v>
          </cell>
          <cell r="E625">
            <v>2.3672470897394976E-4</v>
          </cell>
          <cell r="F625">
            <v>2.3723141611866488E-4</v>
          </cell>
          <cell r="G625">
            <v>2.3912348851683925E-4</v>
          </cell>
          <cell r="H625">
            <v>0.30827508175770968</v>
          </cell>
          <cell r="I625">
            <v>0.57457825195877932</v>
          </cell>
        </row>
        <row r="626">
          <cell r="A626" t="str">
            <v>ITOT-SWHCONBR4</v>
          </cell>
          <cell r="B626" t="str">
            <v>VAR_fout</v>
          </cell>
          <cell r="C626" t="str">
            <v>ITOT-SWHC</v>
          </cell>
          <cell r="E626">
            <v>2.5439711833260019E-3</v>
          </cell>
          <cell r="F626">
            <v>2.5494165311315924E-3</v>
          </cell>
          <cell r="G626">
            <v>2.5697497598789623E-3</v>
          </cell>
          <cell r="H626">
            <v>3.3128900144318325</v>
          </cell>
          <cell r="I626">
            <v>6.1747272681611483</v>
          </cell>
        </row>
        <row r="627">
          <cell r="A627" t="str">
            <v>ITOT-SWHCONBR4</v>
          </cell>
          <cell r="B627" t="str">
            <v>VAR_fin</v>
          </cell>
          <cell r="C627" t="str">
            <v>CON</v>
          </cell>
          <cell r="E627">
            <v>2.7806958922999524E-3</v>
          </cell>
          <cell r="F627">
            <v>2.7866479472502593E-3</v>
          </cell>
          <cell r="G627">
            <v>2.8088732483958017E-3</v>
          </cell>
          <cell r="H627">
            <v>3.6211650961895425</v>
          </cell>
          <cell r="I627">
            <v>6.749305520119921</v>
          </cell>
        </row>
        <row r="628">
          <cell r="A628" t="str">
            <v>ITOT-SWHCONBR4</v>
          </cell>
          <cell r="B628" t="str">
            <v>VAR_ncap</v>
          </cell>
          <cell r="C628" t="str">
            <v>-</v>
          </cell>
          <cell r="E628">
            <v>1.5039697740348699E-4</v>
          </cell>
          <cell r="F628">
            <v>4.2526677196576498E-7</v>
          </cell>
          <cell r="G628">
            <v>1.57851709970352E-6</v>
          </cell>
          <cell r="H628">
            <v>0.19651542926670701</v>
          </cell>
          <cell r="I628">
            <v>0.22425737462953199</v>
          </cell>
        </row>
        <row r="629">
          <cell r="A629" t="str">
            <v>ITOT-SWHCONBR4</v>
          </cell>
          <cell r="B629" t="str">
            <v>VAR_cap</v>
          </cell>
          <cell r="C629" t="str">
            <v>-</v>
          </cell>
          <cell r="E629">
            <v>1.5039697740348699E-4</v>
          </cell>
          <cell r="F629">
            <v>1.5082224417545199E-4</v>
          </cell>
          <cell r="G629">
            <v>1.52400761275156E-4</v>
          </cell>
          <cell r="H629">
            <v>0.196935532406985</v>
          </cell>
          <cell r="I629">
            <v>0.367052423093995</v>
          </cell>
        </row>
        <row r="630">
          <cell r="A630" t="str">
            <v>D-ITOT_NKEV_GAS_ELC_CHP</v>
          </cell>
          <cell r="B630" t="str">
            <v>VAR_fout</v>
          </cell>
          <cell r="C630" t="str">
            <v>ITOT_ELC</v>
          </cell>
          <cell r="D630">
            <v>0.6660144779524052</v>
          </cell>
          <cell r="E630">
            <v>9.8857451405942307E-2</v>
          </cell>
          <cell r="F630">
            <v>4.8358307876928429E-2</v>
          </cell>
          <cell r="G630">
            <v>2.3287943240717021E-2</v>
          </cell>
          <cell r="H630">
            <v>6.5122190949066482E-3</v>
          </cell>
          <cell r="I630">
            <v>4.2730175278388032</v>
          </cell>
        </row>
        <row r="631">
          <cell r="A631" t="str">
            <v>D-ITOT_NKEV_GAS_ELC_CHP</v>
          </cell>
          <cell r="B631" t="str">
            <v>VAR_fout</v>
          </cell>
          <cell r="C631" t="str">
            <v>ELC5</v>
          </cell>
          <cell r="D631">
            <v>3.95265114567004E-3</v>
          </cell>
          <cell r="E631">
            <v>2.2046262891521787E-3</v>
          </cell>
          <cell r="F631">
            <v>1.375683565912639E-3</v>
          </cell>
          <cell r="G631">
            <v>8.1363469968888705E-4</v>
          </cell>
          <cell r="H631">
            <v>1.5594383528925045E-3</v>
          </cell>
          <cell r="I631">
            <v>0.61129768428355202</v>
          </cell>
        </row>
        <row r="632">
          <cell r="A632" t="str">
            <v>D-ITOT_NKEV_GAS_ELC_CHP</v>
          </cell>
          <cell r="B632" t="str">
            <v>VAR_fin</v>
          </cell>
          <cell r="C632" t="str">
            <v>ITOT_NKEV_GAS_ELC_CHP</v>
          </cell>
          <cell r="D632">
            <v>0.66996712909807532</v>
          </cell>
          <cell r="E632">
            <v>0.1010620776950945</v>
          </cell>
          <cell r="F632">
            <v>4.9727297321387746E-2</v>
          </cell>
          <cell r="G632">
            <v>2.4101577940405901E-2</v>
          </cell>
          <cell r="H632">
            <v>8.0716574477991548E-3</v>
          </cell>
          <cell r="I632">
            <v>4.8843152121223579</v>
          </cell>
        </row>
        <row r="633">
          <cell r="A633" t="str">
            <v>SCOM-SHELCBR</v>
          </cell>
          <cell r="B633" t="str">
            <v>VAR_fout</v>
          </cell>
          <cell r="C633" t="str">
            <v>SCOM-SHAELCB</v>
          </cell>
          <cell r="D633">
            <v>2.3940412055525084</v>
          </cell>
          <cell r="E633">
            <v>0.22295989898469099</v>
          </cell>
          <cell r="F633">
            <v>0.48750187366978226</v>
          </cell>
          <cell r="G633">
            <v>0.2870188338236449</v>
          </cell>
          <cell r="H633">
            <v>0.19847276946613002</v>
          </cell>
          <cell r="I633">
            <v>0.13941186445690801</v>
          </cell>
        </row>
        <row r="634">
          <cell r="A634" t="str">
            <v>SCOM-SHELCBR</v>
          </cell>
          <cell r="B634" t="str">
            <v>VAR_fin</v>
          </cell>
          <cell r="C634" t="str">
            <v>SCOM_ELC</v>
          </cell>
          <cell r="D634">
            <v>2.6236068006054873</v>
          </cell>
          <cell r="E634">
            <v>0.243672020748296</v>
          </cell>
          <cell r="F634">
            <v>1.027959579874467</v>
          </cell>
          <cell r="G634">
            <v>0.57842097155856897</v>
          </cell>
          <cell r="H634">
            <v>0.38804548006869982</v>
          </cell>
          <cell r="I634">
            <v>0.26366808684174081</v>
          </cell>
        </row>
        <row r="635">
          <cell r="A635" t="str">
            <v>SCOM-SHELCBR</v>
          </cell>
          <cell r="B635" t="str">
            <v>VAR_ncap</v>
          </cell>
          <cell r="C635" t="str">
            <v>-</v>
          </cell>
          <cell r="D635">
            <v>2.5265949896812301E-6</v>
          </cell>
          <cell r="E635">
            <v>1.89087091035618E-6</v>
          </cell>
          <cell r="F635">
            <v>8.6085659124318601E-5</v>
          </cell>
          <cell r="G635">
            <v>3.0090647615191199E-6</v>
          </cell>
          <cell r="H635">
            <v>9.6343280172058905E-3</v>
          </cell>
          <cell r="I635">
            <v>3.2134600608294699E-3</v>
          </cell>
        </row>
        <row r="636">
          <cell r="A636" t="str">
            <v>SCOM-SHELCBR</v>
          </cell>
          <cell r="B636" t="str">
            <v>VAR_cap</v>
          </cell>
          <cell r="C636" t="str">
            <v>-</v>
          </cell>
          <cell r="D636">
            <v>0.18499057494643167</v>
          </cell>
          <cell r="E636">
            <v>3.809086721085006E-2</v>
          </cell>
          <cell r="F636">
            <v>3.8175377384958353E-2</v>
          </cell>
          <cell r="G636">
            <v>3.815943853283188E-2</v>
          </cell>
          <cell r="H636">
            <v>2.1565947157655554E-2</v>
          </cell>
          <cell r="I636">
            <v>1.5245398520235079E-2</v>
          </cell>
        </row>
        <row r="637">
          <cell r="A637" t="str">
            <v>RHES-SHCONBR3</v>
          </cell>
          <cell r="B637" t="str">
            <v>VAR_fout</v>
          </cell>
          <cell r="C637" t="str">
            <v>RHES-SHCON</v>
          </cell>
          <cell r="D637">
            <v>1.6757213311653085E-2</v>
          </cell>
          <cell r="E637">
            <v>1.3554996821498047</v>
          </cell>
          <cell r="F637">
            <v>0.85697041514928096</v>
          </cell>
          <cell r="G637">
            <v>1.3553512585022376</v>
          </cell>
          <cell r="H637">
            <v>1.3552831680009865</v>
          </cell>
          <cell r="I637">
            <v>3.2167204965985645</v>
          </cell>
        </row>
        <row r="638">
          <cell r="A638" t="str">
            <v>RHES-SHCONBR3</v>
          </cell>
          <cell r="B638" t="str">
            <v>VAR_fin</v>
          </cell>
          <cell r="C638" t="str">
            <v>CON</v>
          </cell>
          <cell r="D638">
            <v>1.6757213311653085E-2</v>
          </cell>
          <cell r="E638">
            <v>1.3554996821498047</v>
          </cell>
          <cell r="F638">
            <v>0.85697041514928096</v>
          </cell>
          <cell r="G638">
            <v>1.3553512585022376</v>
          </cell>
          <cell r="H638">
            <v>1.3552831680009865</v>
          </cell>
          <cell r="I638">
            <v>3.2167204965985645</v>
          </cell>
        </row>
        <row r="639">
          <cell r="A639" t="str">
            <v>RHES-SHCONBR3</v>
          </cell>
          <cell r="B639" t="str">
            <v>VAR_ncap</v>
          </cell>
          <cell r="C639" t="str">
            <v>-</v>
          </cell>
          <cell r="D639">
            <v>5.4754081515361298E-2</v>
          </cell>
          <cell r="E639">
            <v>5.4754028624984297E-2</v>
          </cell>
          <cell r="F639">
            <v>8.0745231138348502E-8</v>
          </cell>
          <cell r="G639">
            <v>1.5870105963138999E-7</v>
          </cell>
          <cell r="H639">
            <v>3.9188592134577401E-7</v>
          </cell>
          <cell r="I639">
            <v>0.20076585814461101</v>
          </cell>
        </row>
        <row r="640">
          <cell r="A640" t="str">
            <v>RHES-SHCONBR3</v>
          </cell>
          <cell r="B640" t="str">
            <v>VAR_cap</v>
          </cell>
          <cell r="C640" t="str">
            <v>-</v>
          </cell>
          <cell r="D640">
            <v>5.4754081515361298E-2</v>
          </cell>
          <cell r="E640">
            <v>0.10950809868145471</v>
          </cell>
          <cell r="F640">
            <v>0.10950777715423435</v>
          </cell>
          <cell r="G640">
            <v>0.10950818481101744</v>
          </cell>
          <cell r="H640">
            <v>0.109508695736743</v>
          </cell>
          <cell r="I640">
            <v>0.25987941031328826</v>
          </cell>
        </row>
        <row r="641">
          <cell r="A641" t="str">
            <v>ITOT-SWHCONBR5</v>
          </cell>
          <cell r="B641" t="str">
            <v>VAR_fout</v>
          </cell>
          <cell r="C641" t="str">
            <v>ITOT-ELS</v>
          </cell>
          <cell r="E641">
            <v>2.1456389833676522E-4</v>
          </cell>
          <cell r="F641">
            <v>2.1490343826919739E-4</v>
          </cell>
          <cell r="G641">
            <v>2.144692169921889E-4</v>
          </cell>
          <cell r="H641">
            <v>3.7706067401022288E-4</v>
          </cell>
          <cell r="I641">
            <v>0.50160819968690773</v>
          </cell>
        </row>
        <row r="642">
          <cell r="A642" t="str">
            <v>ITOT-SWHCONBR5</v>
          </cell>
          <cell r="B642" t="str">
            <v>VAR_fout</v>
          </cell>
          <cell r="C642" t="str">
            <v>ITOT-SWHC</v>
          </cell>
          <cell r="E642">
            <v>1.0524094179246259E-3</v>
          </cell>
          <cell r="F642">
            <v>1.0540748193524679E-3</v>
          </cell>
          <cell r="G642">
            <v>1.0519450176247342E-3</v>
          </cell>
          <cell r="H642">
            <v>1.8494360306342901E-3</v>
          </cell>
          <cell r="I642">
            <v>2.4603262596868314</v>
          </cell>
        </row>
        <row r="643">
          <cell r="A643" t="str">
            <v>ITOT-SWHCONBR5</v>
          </cell>
          <cell r="B643" t="str">
            <v>VAR_fin</v>
          </cell>
          <cell r="C643" t="str">
            <v>CON</v>
          </cell>
          <cell r="E643">
            <v>1.266973316261393E-3</v>
          </cell>
          <cell r="F643">
            <v>1.2689782576216667E-3</v>
          </cell>
          <cell r="G643">
            <v>1.2664142346169231E-3</v>
          </cell>
          <cell r="H643">
            <v>2.2264967046445117E-3</v>
          </cell>
          <cell r="I643">
            <v>2.9619344593737376</v>
          </cell>
        </row>
        <row r="644">
          <cell r="A644" t="str">
            <v>ITOT-SWHCONBR5</v>
          </cell>
          <cell r="B644" t="str">
            <v>VAR_ncap</v>
          </cell>
          <cell r="C644" t="str">
            <v>-</v>
          </cell>
          <cell r="E644">
            <v>6.8032455531441197E-5</v>
          </cell>
          <cell r="F644">
            <v>2.0942250530349001E-7</v>
          </cell>
          <cell r="G644">
            <v>2.5820127629512898E-7</v>
          </cell>
          <cell r="H644">
            <v>5.1645470822417997E-5</v>
          </cell>
          <cell r="I644">
            <v>0.16101586767565801</v>
          </cell>
        </row>
        <row r="645">
          <cell r="A645" t="str">
            <v>ITOT-SWHCONBR5</v>
          </cell>
          <cell r="B645" t="str">
            <v>VAR_cap</v>
          </cell>
          <cell r="C645" t="str">
            <v>-</v>
          </cell>
          <cell r="E645">
            <v>6.8032455531441197E-5</v>
          </cell>
          <cell r="F645">
            <v>6.8241878036744697E-5</v>
          </cell>
          <cell r="G645">
            <v>6.8500079313039804E-5</v>
          </cell>
          <cell r="H645">
            <v>1.20326254814556E-4</v>
          </cell>
          <cell r="I645">
            <v>0.16108230984496</v>
          </cell>
        </row>
        <row r="646">
          <cell r="A646" t="str">
            <v>RHES-SHSTG-ELC</v>
          </cell>
          <cell r="B646" t="str">
            <v>VAR_fout</v>
          </cell>
          <cell r="C646" t="str">
            <v>RHES-SHAELCB</v>
          </cell>
          <cell r="D646">
            <v>5.6644330132860934E-7</v>
          </cell>
          <cell r="E646">
            <v>0.68482095856744529</v>
          </cell>
          <cell r="F646">
            <v>0.19681589890831214</v>
          </cell>
          <cell r="G646">
            <v>2.8392461376884431E-2</v>
          </cell>
          <cell r="H646">
            <v>1.0433901481598243E-4</v>
          </cell>
          <cell r="I646">
            <v>2.0548502053788937E-5</v>
          </cell>
        </row>
        <row r="647">
          <cell r="A647" t="str">
            <v>RHES-SHSTG-ELC</v>
          </cell>
          <cell r="B647" t="str">
            <v>VAR_fin</v>
          </cell>
          <cell r="C647" t="str">
            <v>RHES-SHAELCB</v>
          </cell>
          <cell r="D647">
            <v>4.1553633558749853E-6</v>
          </cell>
          <cell r="E647">
            <v>0.68484671711159695</v>
          </cell>
          <cell r="F647">
            <v>0.19681831810021141</v>
          </cell>
          <cell r="G647">
            <v>2.8391425866197129E-2</v>
          </cell>
          <cell r="H647">
            <v>1.0463796261678249E-4</v>
          </cell>
          <cell r="I647">
            <v>2.0345314689191737E-5</v>
          </cell>
        </row>
        <row r="648">
          <cell r="A648" t="str">
            <v>RHES-SHSTG-ELC</v>
          </cell>
          <cell r="B648" t="str">
            <v>VAR_ncap</v>
          </cell>
          <cell r="C648" t="str">
            <v>-</v>
          </cell>
          <cell r="D648">
            <v>1.02186097696899E-2</v>
          </cell>
          <cell r="E648">
            <v>5.3796334246125101E-2</v>
          </cell>
          <cell r="F648">
            <v>1.44371330473535E-5</v>
          </cell>
          <cell r="G648">
            <v>1.3182432398949799E-5</v>
          </cell>
          <cell r="H648">
            <v>1.68157540008427E-5</v>
          </cell>
          <cell r="I648">
            <v>3.0321074063696601E-6</v>
          </cell>
        </row>
        <row r="649">
          <cell r="A649" t="str">
            <v>RHES-SHSTG-ELC</v>
          </cell>
          <cell r="B649" t="str">
            <v>VAR_cap</v>
          </cell>
          <cell r="C649" t="str">
            <v>-</v>
          </cell>
          <cell r="D649">
            <v>1.02186097696899E-2</v>
          </cell>
          <cell r="E649">
            <v>6.3997259448054539E-2</v>
          </cell>
          <cell r="F649">
            <v>1.9308069056826804E-2</v>
          </cell>
          <cell r="G649">
            <v>3.343821717569799E-3</v>
          </cell>
          <cell r="H649">
            <v>2.5491246660298998E-5</v>
          </cell>
          <cell r="I649">
            <v>6.0045919322453008E-6</v>
          </cell>
        </row>
        <row r="650">
          <cell r="A650" t="str">
            <v>RHES-SHCONBR4</v>
          </cell>
          <cell r="B650" t="str">
            <v>VAR_fout</v>
          </cell>
          <cell r="C650" t="str">
            <v>RHES-SHCON</v>
          </cell>
          <cell r="E650">
            <v>0.42667858047180446</v>
          </cell>
          <cell r="F650">
            <v>0.23860261601122582</v>
          </cell>
          <cell r="G650">
            <v>0.42653476559042852</v>
          </cell>
          <cell r="H650">
            <v>0.42647096558068448</v>
          </cell>
          <cell r="I650">
            <v>0.24658566521468164</v>
          </cell>
        </row>
        <row r="651">
          <cell r="A651" t="str">
            <v>RHES-SHCONBR4</v>
          </cell>
          <cell r="B651" t="str">
            <v>VAR_fin</v>
          </cell>
          <cell r="C651" t="str">
            <v>CON</v>
          </cell>
          <cell r="E651">
            <v>0.42667858047180446</v>
          </cell>
          <cell r="F651">
            <v>0.23860261601122582</v>
          </cell>
          <cell r="G651">
            <v>0.42653476559042852</v>
          </cell>
          <cell r="H651">
            <v>0.42647096558068448</v>
          </cell>
          <cell r="I651">
            <v>0.24658566521468164</v>
          </cell>
        </row>
        <row r="652">
          <cell r="A652" t="str">
            <v>RHES-SHCONBR4</v>
          </cell>
          <cell r="B652" t="str">
            <v>VAR_ncap</v>
          </cell>
          <cell r="C652" t="str">
            <v>-</v>
          </cell>
          <cell r="E652">
            <v>3.4470592580705797E-2</v>
          </cell>
          <cell r="F652">
            <v>7.3384704064199304E-8</v>
          </cell>
          <cell r="G652">
            <v>9.7998187095102006E-8</v>
          </cell>
          <cell r="H652">
            <v>2.4830020907283402E-7</v>
          </cell>
          <cell r="I652">
            <v>5.52386632632946E-7</v>
          </cell>
        </row>
        <row r="653">
          <cell r="A653" t="str">
            <v>RHES-SHCONBR4</v>
          </cell>
          <cell r="B653" t="str">
            <v>VAR_cap</v>
          </cell>
          <cell r="C653" t="str">
            <v>-</v>
          </cell>
          <cell r="E653">
            <v>3.4470592580705797E-2</v>
          </cell>
          <cell r="F653">
            <v>3.4470485302739468E-2</v>
          </cell>
          <cell r="G653">
            <v>3.4470660771019665E-2</v>
          </cell>
          <cell r="H653">
            <v>3.4470953056901336E-2</v>
          </cell>
          <cell r="I653">
            <v>1.9928465712661766E-2</v>
          </cell>
        </row>
        <row r="654">
          <cell r="A654" t="str">
            <v>ITOT-SWHCONBR6</v>
          </cell>
          <cell r="B654" t="str">
            <v>VAR_fout</v>
          </cell>
          <cell r="C654" t="str">
            <v>ITOT-SWHC</v>
          </cell>
          <cell r="E654">
            <v>6.3835485685664504E-4</v>
          </cell>
          <cell r="F654">
            <v>6.9894473849190484E-4</v>
          </cell>
          <cell r="G654">
            <v>7.2256967312029859E-4</v>
          </cell>
          <cell r="H654">
            <v>1.0757896775799188E-3</v>
          </cell>
          <cell r="I654">
            <v>1.2078652964333754</v>
          </cell>
        </row>
        <row r="655">
          <cell r="A655" t="str">
            <v>ITOT-SWHCONBR6</v>
          </cell>
          <cell r="B655" t="str">
            <v>VAR_fin</v>
          </cell>
          <cell r="C655" t="str">
            <v>CON</v>
          </cell>
          <cell r="E655">
            <v>6.3835485685664504E-4</v>
          </cell>
          <cell r="F655">
            <v>6.9894473849190484E-4</v>
          </cell>
          <cell r="G655">
            <v>7.2256967312029859E-4</v>
          </cell>
          <cell r="H655">
            <v>1.0757896775799188E-3</v>
          </cell>
          <cell r="I655">
            <v>1.2078652964333754</v>
          </cell>
        </row>
        <row r="656">
          <cell r="A656" t="str">
            <v>ITOT-SWHCONBR6</v>
          </cell>
          <cell r="B656" t="str">
            <v>VAR_ncap</v>
          </cell>
          <cell r="C656" t="str">
            <v>-</v>
          </cell>
          <cell r="E656">
            <v>3.3870037027258503E-5</v>
          </cell>
          <cell r="F656">
            <v>3.3752607665762E-6</v>
          </cell>
          <cell r="G656">
            <v>1.6480081957173301E-6</v>
          </cell>
          <cell r="H656">
            <v>1.7901944110008901E-5</v>
          </cell>
          <cell r="I656">
            <v>6.56592745484368E-2</v>
          </cell>
        </row>
        <row r="657">
          <cell r="A657" t="str">
            <v>ITOT-SWHCONBR6</v>
          </cell>
          <cell r="B657" t="str">
            <v>VAR_cap</v>
          </cell>
          <cell r="C657" t="str">
            <v>-</v>
          </cell>
          <cell r="E657">
            <v>3.3870037027258503E-5</v>
          </cell>
          <cell r="F657">
            <v>3.7245297793834703E-5</v>
          </cell>
          <cell r="G657">
            <v>3.8893305989552098E-5</v>
          </cell>
          <cell r="H657">
            <v>5.7985415259351097E-5</v>
          </cell>
          <cell r="I657">
            <v>6.5688492694462197E-2</v>
          </cell>
        </row>
        <row r="658">
          <cell r="A658" t="str">
            <v>RHNM-SHNGAHP</v>
          </cell>
          <cell r="B658" t="str">
            <v>VAR_fout</v>
          </cell>
          <cell r="C658" t="str">
            <v>CO2_R</v>
          </cell>
          <cell r="F658">
            <v>7.3496336605870596</v>
          </cell>
          <cell r="G658">
            <v>19.853996188701501</v>
          </cell>
          <cell r="H658">
            <v>31.291077108515999</v>
          </cell>
          <cell r="I658">
            <v>30.683425509721399</v>
          </cell>
        </row>
        <row r="659">
          <cell r="A659" t="str">
            <v>RHNM-SHNGAHP</v>
          </cell>
          <cell r="B659" t="str">
            <v>VAR_fout</v>
          </cell>
          <cell r="C659" t="str">
            <v>RHNM-SHANGAH</v>
          </cell>
          <cell r="F659">
            <v>0.25591930528311879</v>
          </cell>
          <cell r="G659">
            <v>0.71205197606572668</v>
          </cell>
          <cell r="H659">
            <v>1.1536362535187048</v>
          </cell>
          <cell r="I659">
            <v>1.1552305514400716</v>
          </cell>
        </row>
        <row r="660">
          <cell r="A660" t="str">
            <v>RHNM-SHNGAHP</v>
          </cell>
          <cell r="B660" t="str">
            <v>VAR_fin</v>
          </cell>
          <cell r="C660" t="str">
            <v>RNGA</v>
          </cell>
          <cell r="F660">
            <v>0.13031265355650817</v>
          </cell>
          <cell r="G660">
            <v>0.35202120901952971</v>
          </cell>
          <cell r="H660">
            <v>0.55480633171127625</v>
          </cell>
          <cell r="I660">
            <v>0.54403236719364167</v>
          </cell>
        </row>
        <row r="661">
          <cell r="A661" t="str">
            <v>RHNM-SHNGAHP</v>
          </cell>
          <cell r="B661" t="str">
            <v>VAR_fin</v>
          </cell>
          <cell r="C661" t="str">
            <v>RHNMELCHPC</v>
          </cell>
          <cell r="F661">
            <v>0.25591930528311879</v>
          </cell>
          <cell r="G661">
            <v>0.71205197606572668</v>
          </cell>
          <cell r="H661">
            <v>1.1536362535187048</v>
          </cell>
          <cell r="I661">
            <v>1.1552305514400716</v>
          </cell>
        </row>
        <row r="662">
          <cell r="A662" t="str">
            <v>RHNM-SHNGAHP</v>
          </cell>
          <cell r="B662" t="str">
            <v>VAR_ncap</v>
          </cell>
          <cell r="C662" t="str">
            <v>-</v>
          </cell>
          <cell r="E662">
            <v>1.12208553826095E-6</v>
          </cell>
          <cell r="F662">
            <v>1.9937850407090198E-2</v>
          </cell>
          <cell r="G662">
            <v>3.5376238754773803E-2</v>
          </cell>
          <cell r="H662">
            <v>4.2028617442844501E-2</v>
          </cell>
          <cell r="I662">
            <v>5.1061449604815401E-2</v>
          </cell>
        </row>
        <row r="663">
          <cell r="A663" t="str">
            <v>RHNM-SHNGAHP</v>
          </cell>
          <cell r="B663" t="str">
            <v>VAR_cap</v>
          </cell>
          <cell r="C663" t="str">
            <v>-</v>
          </cell>
          <cell r="E663">
            <v>1.12208553826095E-6</v>
          </cell>
          <cell r="F663">
            <v>1.9938833012509288E-2</v>
          </cell>
          <cell r="G663">
            <v>5.5314978301512406E-2</v>
          </cell>
          <cell r="H663">
            <v>8.9601013248157974E-2</v>
          </cell>
          <cell r="I663">
            <v>8.9971945061069938E-2</v>
          </cell>
        </row>
        <row r="664">
          <cell r="A664" t="str">
            <v>D-SCOM_KEV_WOD_ELC_CHP</v>
          </cell>
          <cell r="B664" t="str">
            <v>VAR_fout</v>
          </cell>
          <cell r="C664" t="str">
            <v>ELC5</v>
          </cell>
          <cell r="G664">
            <v>3.5473956349883512E-4</v>
          </cell>
          <cell r="H664">
            <v>5.6669183589081286E-4</v>
          </cell>
          <cell r="I664">
            <v>1.9895440293918982E-4</v>
          </cell>
        </row>
        <row r="665">
          <cell r="A665" t="str">
            <v>D-SCOM_KEV_WOD_ELC_CHP</v>
          </cell>
          <cell r="B665" t="str">
            <v>VAR_fout</v>
          </cell>
          <cell r="C665" t="str">
            <v>SCOM_ELC</v>
          </cell>
          <cell r="G665">
            <v>1.9566011608859943E-4</v>
          </cell>
          <cell r="H665">
            <v>5.6644590840704333E-4</v>
          </cell>
          <cell r="I665">
            <v>1.9880894551978909E-4</v>
          </cell>
        </row>
        <row r="666">
          <cell r="A666" t="str">
            <v>D-SCOM_KEV_WOD_ELC_CHP</v>
          </cell>
          <cell r="B666" t="str">
            <v>VAR_fin</v>
          </cell>
          <cell r="C666" t="str">
            <v>SCOM_KEV_WOD_ELC_CHP</v>
          </cell>
          <cell r="G666">
            <v>5.4932898602473861E-4</v>
          </cell>
          <cell r="H666">
            <v>1.1229702499674097E-3</v>
          </cell>
          <cell r="I666">
            <v>3.8661029051496925E-4</v>
          </cell>
        </row>
        <row r="667">
          <cell r="A667" t="str">
            <v>RHES-SHCONBR5</v>
          </cell>
          <cell r="B667" t="str">
            <v>VAR_fout</v>
          </cell>
          <cell r="C667" t="str">
            <v>RHES-SHCON</v>
          </cell>
          <cell r="E667">
            <v>7.9841712513058077E-2</v>
          </cell>
          <cell r="F667">
            <v>4.0827837486021361E-2</v>
          </cell>
          <cell r="G667">
            <v>7.9707838337905207E-2</v>
          </cell>
          <cell r="H667">
            <v>7.9645294848528017E-2</v>
          </cell>
          <cell r="I667">
            <v>4.608032074873776E-2</v>
          </cell>
        </row>
        <row r="668">
          <cell r="A668" t="str">
            <v>RHES-SHCONBR5</v>
          </cell>
          <cell r="B668" t="str">
            <v>VAR_fin</v>
          </cell>
          <cell r="C668" t="str">
            <v>CON</v>
          </cell>
          <cell r="E668">
            <v>7.9841712513058077E-2</v>
          </cell>
          <cell r="F668">
            <v>4.0827837486021361E-2</v>
          </cell>
          <cell r="G668">
            <v>7.9707838337905207E-2</v>
          </cell>
          <cell r="H668">
            <v>7.9645294848528017E-2</v>
          </cell>
          <cell r="I668">
            <v>4.608032074873776E-2</v>
          </cell>
        </row>
        <row r="669">
          <cell r="A669" t="str">
            <v>RHES-SHCONBR5</v>
          </cell>
          <cell r="B669" t="str">
            <v>VAR_ncap</v>
          </cell>
          <cell r="C669" t="str">
            <v>-</v>
          </cell>
          <cell r="E669">
            <v>6.4503159258238402E-3</v>
          </cell>
          <cell r="F669">
            <v>5.5876407439521298E-8</v>
          </cell>
          <cell r="G669">
            <v>6.0397613234060106E-8</v>
          </cell>
          <cell r="H669">
            <v>1.4878142511778199E-7</v>
          </cell>
          <cell r="I669">
            <v>2.32749533469844E-7</v>
          </cell>
        </row>
        <row r="670">
          <cell r="A670" t="str">
            <v>RHES-SHCONBR5</v>
          </cell>
          <cell r="B670" t="str">
            <v>VAR_cap</v>
          </cell>
          <cell r="C670" t="str">
            <v>-</v>
          </cell>
          <cell r="E670">
            <v>6.4503159258238402E-3</v>
          </cell>
          <cell r="F670">
            <v>6.4502020946226833E-3</v>
          </cell>
          <cell r="G670">
            <v>6.4503346821321202E-3</v>
          </cell>
          <cell r="H670">
            <v>6.4504572084018944E-3</v>
          </cell>
          <cell r="I670">
            <v>3.7293816787392102E-3</v>
          </cell>
        </row>
        <row r="671">
          <cell r="A671" t="str">
            <v>RHNS-SHCONBR</v>
          </cell>
          <cell r="B671" t="str">
            <v>VAR_fout</v>
          </cell>
          <cell r="C671" t="str">
            <v>RHNS-SHCON</v>
          </cell>
          <cell r="F671">
            <v>1.7226114970210825E-3</v>
          </cell>
          <cell r="G671">
            <v>1.7605763057822381E-3</v>
          </cell>
          <cell r="H671">
            <v>3.148704337913949E-3</v>
          </cell>
          <cell r="I671">
            <v>6.5093893899628085E-3</v>
          </cell>
        </row>
        <row r="672">
          <cell r="A672" t="str">
            <v>RHNS-SHCONBR</v>
          </cell>
          <cell r="B672" t="str">
            <v>VAR_fin</v>
          </cell>
          <cell r="C672" t="str">
            <v>CON</v>
          </cell>
          <cell r="F672">
            <v>1.7226114970210825E-3</v>
          </cell>
          <cell r="G672">
            <v>1.7605763057822381E-3</v>
          </cell>
          <cell r="H672">
            <v>3.148704337913949E-3</v>
          </cell>
          <cell r="I672">
            <v>6.5093893899628085E-3</v>
          </cell>
        </row>
        <row r="673">
          <cell r="A673" t="str">
            <v>RHNS-SHCONBR</v>
          </cell>
          <cell r="B673" t="str">
            <v>VAR_ncap</v>
          </cell>
          <cell r="C673" t="str">
            <v>-</v>
          </cell>
          <cell r="E673">
            <v>4.0318320978699097E-8</v>
          </cell>
          <cell r="F673">
            <v>1.30382414957653E-4</v>
          </cell>
          <cell r="G673">
            <v>6.4866694769516501E-7</v>
          </cell>
          <cell r="H673">
            <v>1.0040136288771301E-4</v>
          </cell>
          <cell r="I673">
            <v>2.43913751924624E-4</v>
          </cell>
        </row>
        <row r="674">
          <cell r="A674" t="str">
            <v>RHNS-SHCONBR</v>
          </cell>
          <cell r="B674" t="str">
            <v>VAR_cap</v>
          </cell>
          <cell r="C674" t="str">
            <v>-</v>
          </cell>
          <cell r="E674">
            <v>4.0318320978699097E-8</v>
          </cell>
          <cell r="F674">
            <v>1.3039640188416672E-4</v>
          </cell>
          <cell r="G674">
            <v>1.3103541554572855E-4</v>
          </cell>
          <cell r="H674">
            <v>2.3283110070876177E-4</v>
          </cell>
          <cell r="I674">
            <v>4.7685373064562501E-4</v>
          </cell>
        </row>
        <row r="675">
          <cell r="A675" t="str">
            <v>D-RHEM_SOLELC</v>
          </cell>
          <cell r="B675" t="str">
            <v>VAR_fout</v>
          </cell>
          <cell r="C675" t="str">
            <v>ELC5</v>
          </cell>
          <cell r="D675">
            <v>0.2116748408971596</v>
          </cell>
          <cell r="E675">
            <v>0.67384588844940896</v>
          </cell>
          <cell r="F675">
            <v>1.1247380769301041</v>
          </cell>
          <cell r="G675">
            <v>1.8784092307556515</v>
          </cell>
          <cell r="H675">
            <v>2.6917423862038552</v>
          </cell>
          <cell r="I675">
            <v>2.7901579416764473</v>
          </cell>
        </row>
        <row r="676">
          <cell r="A676" t="str">
            <v>D-RHEM_SOLELC</v>
          </cell>
          <cell r="B676" t="str">
            <v>VAR_fout</v>
          </cell>
          <cell r="C676" t="str">
            <v>RHEM_ELC</v>
          </cell>
          <cell r="D676">
            <v>0.65080838488868842</v>
          </cell>
          <cell r="E676">
            <v>0.61373812945591566</v>
          </cell>
          <cell r="F676">
            <v>0.97740145998501504</v>
          </cell>
          <cell r="G676">
            <v>2.6996824237615069</v>
          </cell>
          <cell r="H676">
            <v>2.3653367911966368</v>
          </cell>
          <cell r="I676">
            <v>2.7960123271953665</v>
          </cell>
        </row>
        <row r="677">
          <cell r="A677" t="str">
            <v>D-RHEM_SOLELC</v>
          </cell>
          <cell r="B677" t="str">
            <v>VAR_fin</v>
          </cell>
          <cell r="C677" t="str">
            <v>RHEM_SOL_ELC</v>
          </cell>
          <cell r="D677">
            <v>0.86248322578584768</v>
          </cell>
          <cell r="E677">
            <v>1.2875827582058614</v>
          </cell>
          <cell r="F677">
            <v>2.1021360689337358</v>
          </cell>
          <cell r="G677">
            <v>4.5780875508100038</v>
          </cell>
          <cell r="H677">
            <v>5.0570738737862984</v>
          </cell>
          <cell r="I677">
            <v>5.5861649919263154</v>
          </cell>
        </row>
        <row r="678">
          <cell r="A678" t="str">
            <v>ITOT-SWHCONBR7</v>
          </cell>
          <cell r="B678" t="str">
            <v>VAR_fout</v>
          </cell>
          <cell r="C678" t="str">
            <v>ITOT-ELS</v>
          </cell>
          <cell r="E678">
            <v>0.13196043464985463</v>
          </cell>
          <cell r="F678">
            <v>0.13189062795544587</v>
          </cell>
          <cell r="G678">
            <v>0.13185403447628738</v>
          </cell>
          <cell r="H678">
            <v>9.9928134745707513E-4</v>
          </cell>
          <cell r="I678">
            <v>2.9591082877158152</v>
          </cell>
        </row>
        <row r="679">
          <cell r="A679" t="str">
            <v>ITOT-SWHCONBR7</v>
          </cell>
          <cell r="B679" t="str">
            <v>VAR_fout</v>
          </cell>
          <cell r="C679" t="str">
            <v>ITOT-SWHC</v>
          </cell>
          <cell r="E679">
            <v>2.3010950636447602E-2</v>
          </cell>
          <cell r="F679">
            <v>2.299877790904338E-2</v>
          </cell>
          <cell r="G679">
            <v>2.2992396824100998E-2</v>
          </cell>
          <cell r="H679">
            <v>1.7425233418843461E-4</v>
          </cell>
          <cell r="I679">
            <v>0.51600235265371253</v>
          </cell>
        </row>
        <row r="680">
          <cell r="A680" t="str">
            <v>ITOT-SWHCONBR7</v>
          </cell>
          <cell r="B680" t="str">
            <v>VAR_fin</v>
          </cell>
          <cell r="C680" t="str">
            <v>CON</v>
          </cell>
          <cell r="E680">
            <v>0.15497138528630228</v>
          </cell>
          <cell r="F680">
            <v>0.15488940586448924</v>
          </cell>
          <cell r="G680">
            <v>0.15484643130038839</v>
          </cell>
          <cell r="H680">
            <v>1.1735336816455103E-3</v>
          </cell>
          <cell r="I680">
            <v>3.4751106403695253</v>
          </cell>
        </row>
        <row r="681">
          <cell r="A681" t="str">
            <v>ITOT-SWHCONBR7</v>
          </cell>
          <cell r="B681" t="str">
            <v>VAR_ncap</v>
          </cell>
          <cell r="C681" t="str">
            <v>-</v>
          </cell>
          <cell r="E681">
            <v>8.4281167807175508E-3</v>
          </cell>
          <cell r="F681">
            <v>3.5309255191754099E-8</v>
          </cell>
          <cell r="G681">
            <v>2.0727290387618E-8</v>
          </cell>
          <cell r="H681">
            <v>6.0298092115550299E-5</v>
          </cell>
          <cell r="I681">
            <v>0.18897701423236399</v>
          </cell>
        </row>
        <row r="682">
          <cell r="A682" t="str">
            <v>ITOT-SWHCONBR7</v>
          </cell>
          <cell r="B682" t="str">
            <v>VAR_cap</v>
          </cell>
          <cell r="C682" t="str">
            <v>-</v>
          </cell>
          <cell r="E682">
            <v>8.4281167807175508E-3</v>
          </cell>
          <cell r="F682">
            <v>8.4281520899727493E-3</v>
          </cell>
          <cell r="G682">
            <v>8.4281728172631298E-3</v>
          </cell>
          <cell r="H682">
            <v>6.3408939735262005E-5</v>
          </cell>
          <cell r="I682">
            <v>0.18902208181760999</v>
          </cell>
        </row>
        <row r="683">
          <cell r="A683" t="str">
            <v>RHNS-SHSTG-ELCHP</v>
          </cell>
          <cell r="B683" t="str">
            <v>VAR_fout</v>
          </cell>
          <cell r="C683" t="str">
            <v>RHNS-SHAELCH</v>
          </cell>
          <cell r="E683">
            <v>1.3163420531118837E-2</v>
          </cell>
          <cell r="F683">
            <v>0.18288642308962846</v>
          </cell>
          <cell r="G683">
            <v>0.26153247326245233</v>
          </cell>
          <cell r="H683">
            <v>0.37509766093327307</v>
          </cell>
          <cell r="I683">
            <v>0.40249153019091422</v>
          </cell>
        </row>
        <row r="684">
          <cell r="A684" t="str">
            <v>RHNS-SHSTG-ELCHP</v>
          </cell>
          <cell r="B684" t="str">
            <v>VAR_fin</v>
          </cell>
          <cell r="C684" t="str">
            <v>RHNS-SHAELCH</v>
          </cell>
          <cell r="E684">
            <v>1.3163100403649704E-2</v>
          </cell>
          <cell r="F684">
            <v>0.18289072953705551</v>
          </cell>
          <cell r="G684">
            <v>0.26154067356693289</v>
          </cell>
          <cell r="H684">
            <v>0.37511479652941204</v>
          </cell>
          <cell r="I684">
            <v>0.40250788635825591</v>
          </cell>
        </row>
        <row r="685">
          <cell r="A685" t="str">
            <v>RHNS-SHSTG-ELCHP</v>
          </cell>
          <cell r="B685" t="str">
            <v>VAR_ncap</v>
          </cell>
          <cell r="C685" t="str">
            <v>-</v>
          </cell>
          <cell r="D685">
            <v>6.2817714590257306E-5</v>
          </cell>
          <cell r="E685">
            <v>1.72783820429515E-3</v>
          </cell>
          <cell r="F685">
            <v>1.0771138732613201E-2</v>
          </cell>
          <cell r="G685">
            <v>8.9855433525830395E-3</v>
          </cell>
          <cell r="H685">
            <v>1.7517178180379501E-2</v>
          </cell>
          <cell r="I685">
            <v>2.44186219619144E-2</v>
          </cell>
        </row>
        <row r="686">
          <cell r="A686" t="str">
            <v>RHNS-SHSTG-ELCHP</v>
          </cell>
          <cell r="B686" t="str">
            <v>VAR_cap</v>
          </cell>
          <cell r="C686" t="str">
            <v>-</v>
          </cell>
          <cell r="D686">
            <v>6.2817714590257306E-5</v>
          </cell>
          <cell r="E686">
            <v>1.7835583261931139E-3</v>
          </cell>
          <cell r="F686">
            <v>1.2539576196766256E-2</v>
          </cell>
          <cell r="G686">
            <v>2.1503840613673192E-2</v>
          </cell>
          <cell r="H686">
            <v>3.2203704458407693E-2</v>
          </cell>
          <cell r="I686">
            <v>3.9926175709535695E-2</v>
          </cell>
        </row>
        <row r="687">
          <cell r="A687" t="str">
            <v>RHNS-SHSOLBR</v>
          </cell>
          <cell r="B687" t="str">
            <v>VAR_fout</v>
          </cell>
          <cell r="C687" t="str">
            <v>RHNS-SHASOL</v>
          </cell>
          <cell r="E687">
            <v>1.3402332386487727E-2</v>
          </cell>
          <cell r="F687">
            <v>4.5285885773718845E-4</v>
          </cell>
          <cell r="G687">
            <v>1.6337828520701029E-3</v>
          </cell>
          <cell r="H687">
            <v>2.3783912202605421E-3</v>
          </cell>
          <cell r="I687">
            <v>3.820380530707376E-3</v>
          </cell>
        </row>
        <row r="688">
          <cell r="A688" t="str">
            <v>RHNS-SHSOLBR</v>
          </cell>
          <cell r="B688" t="str">
            <v>VAR_fin</v>
          </cell>
          <cell r="C688" t="str">
            <v>SOL</v>
          </cell>
          <cell r="E688">
            <v>1.3402332386487727E-2</v>
          </cell>
          <cell r="F688">
            <v>4.5285885773718845E-4</v>
          </cell>
          <cell r="G688">
            <v>1.6337828520701029E-3</v>
          </cell>
          <cell r="H688">
            <v>2.3783912202605421E-3</v>
          </cell>
          <cell r="I688">
            <v>3.820380530707376E-3</v>
          </cell>
        </row>
        <row r="689">
          <cell r="A689" t="str">
            <v>RHNS-SHSOLBR</v>
          </cell>
          <cell r="B689" t="str">
            <v>VAR_ncap</v>
          </cell>
          <cell r="C689" t="str">
            <v>-</v>
          </cell>
          <cell r="E689">
            <v>2.1923646919796902E-3</v>
          </cell>
          <cell r="F689">
            <v>1.4093318559998699E-6</v>
          </cell>
          <cell r="G689">
            <v>2.4041326829474099E-6</v>
          </cell>
          <cell r="H689">
            <v>5.1008034213589296E-4</v>
          </cell>
          <cell r="I689">
            <v>5.32859018936144E-4</v>
          </cell>
        </row>
        <row r="690">
          <cell r="A690" t="str">
            <v>RHNS-SHSOLBR</v>
          </cell>
          <cell r="B690" t="str">
            <v>VAR_cap</v>
          </cell>
          <cell r="C690" t="str">
            <v>-</v>
          </cell>
          <cell r="E690">
            <v>2.1923646919796902E-3</v>
          </cell>
          <cell r="F690">
            <v>2.1911416963275392E-3</v>
          </cell>
          <cell r="G690">
            <v>2.1930333582698539E-3</v>
          </cell>
          <cell r="H690">
            <v>5.2793366251664871E-4</v>
          </cell>
          <cell r="I690">
            <v>9.094728241900615E-4</v>
          </cell>
        </row>
        <row r="691">
          <cell r="A691" t="str">
            <v>RHES-SHPLTBR</v>
          </cell>
          <cell r="B691" t="str">
            <v>VAR_fout</v>
          </cell>
          <cell r="C691" t="str">
            <v>RHES-SHPLT</v>
          </cell>
          <cell r="D691">
            <v>1.2957585177978772</v>
          </cell>
          <cell r="E691">
            <v>1.4868847763167572</v>
          </cell>
          <cell r="F691">
            <v>2.485944186860178E-2</v>
          </cell>
          <cell r="G691">
            <v>2.1537736374341188E-2</v>
          </cell>
          <cell r="H691">
            <v>1.3325441163667226E-2</v>
          </cell>
          <cell r="I691">
            <v>7.2025958682231678E-3</v>
          </cell>
        </row>
        <row r="692">
          <cell r="A692" t="str">
            <v>RHES-SHPLTBR</v>
          </cell>
          <cell r="B692" t="str">
            <v>VAR_fin</v>
          </cell>
          <cell r="C692" t="str">
            <v>RPLT</v>
          </cell>
          <cell r="D692">
            <v>1.4397316864420848</v>
          </cell>
          <cell r="E692">
            <v>1.6520941959075086</v>
          </cell>
          <cell r="F692">
            <v>3.4724443726761541E-2</v>
          </cell>
          <cell r="G692">
            <v>2.9865719104374605E-2</v>
          </cell>
          <cell r="H692">
            <v>1.8388055843112192E-2</v>
          </cell>
          <cell r="I692">
            <v>9.4692128480849715E-3</v>
          </cell>
        </row>
        <row r="693">
          <cell r="A693" t="str">
            <v>RHES-SHPLTBR</v>
          </cell>
          <cell r="B693" t="str">
            <v>VAR_ncap</v>
          </cell>
          <cell r="C693" t="str">
            <v>-</v>
          </cell>
          <cell r="E693">
            <v>1.5449299280572299E-2</v>
          </cell>
          <cell r="F693">
            <v>7.01096324741156E-8</v>
          </cell>
          <cell r="G693">
            <v>1.5193840385670699E-7</v>
          </cell>
          <cell r="H693">
            <v>1.0775180385523601E-3</v>
          </cell>
          <cell r="I693">
            <v>1.1930221863484801E-7</v>
          </cell>
        </row>
        <row r="694">
          <cell r="A694" t="str">
            <v>RHES-SHPLTBR</v>
          </cell>
          <cell r="B694" t="str">
            <v>VAR_cap</v>
          </cell>
          <cell r="C694" t="str">
            <v>-</v>
          </cell>
          <cell r="D694">
            <v>0.104681131456585</v>
          </cell>
          <cell r="E694">
            <v>0.12013038624191211</v>
          </cell>
          <cell r="F694">
            <v>2.8504522496397011E-3</v>
          </cell>
          <cell r="G694">
            <v>2.832659859568612E-3</v>
          </cell>
          <cell r="H694">
            <v>1.0865058918512309E-3</v>
          </cell>
          <cell r="I694">
            <v>7.8353034094427688E-4</v>
          </cell>
        </row>
        <row r="695">
          <cell r="A695" t="str">
            <v>RHES-SHCONBR6</v>
          </cell>
          <cell r="B695" t="str">
            <v>VAR_fout</v>
          </cell>
          <cell r="C695" t="str">
            <v>RHES-SHCON</v>
          </cell>
          <cell r="E695">
            <v>4.6501681699584138E-4</v>
          </cell>
          <cell r="F695">
            <v>2.3656013919764308E-4</v>
          </cell>
          <cell r="G695">
            <v>3.8660907338571509E-4</v>
          </cell>
          <cell r="H695">
            <v>3.6525867734903535E-4</v>
          </cell>
          <cell r="I695">
            <v>2.279223116293179E-4</v>
          </cell>
        </row>
        <row r="696">
          <cell r="A696" t="str">
            <v>RHES-SHCONBR6</v>
          </cell>
          <cell r="B696" t="str">
            <v>VAR_fin</v>
          </cell>
          <cell r="C696" t="str">
            <v>CON</v>
          </cell>
          <cell r="E696">
            <v>4.6501681699584138E-4</v>
          </cell>
          <cell r="F696">
            <v>2.3656013919764308E-4</v>
          </cell>
          <cell r="G696">
            <v>3.8660907338571509E-4</v>
          </cell>
          <cell r="H696">
            <v>3.6525867734903535E-4</v>
          </cell>
          <cell r="I696">
            <v>2.279223116293179E-4</v>
          </cell>
        </row>
        <row r="697">
          <cell r="A697" t="str">
            <v>RHES-SHCONBR6</v>
          </cell>
          <cell r="B697" t="str">
            <v>VAR_ncap</v>
          </cell>
          <cell r="C697" t="str">
            <v>-</v>
          </cell>
          <cell r="E697">
            <v>3.7425552144653703E-5</v>
          </cell>
          <cell r="F697">
            <v>4.1810489562625901E-8</v>
          </cell>
          <cell r="G697">
            <v>5.1936623544760399E-8</v>
          </cell>
          <cell r="H697">
            <v>8.2614996028564295E-8</v>
          </cell>
          <cell r="I697">
            <v>2.2597496359834199E-7</v>
          </cell>
        </row>
        <row r="698">
          <cell r="A698" t="str">
            <v>RHES-SHCONBR6</v>
          </cell>
          <cell r="B698" t="str">
            <v>VAR_cap</v>
          </cell>
          <cell r="C698" t="str">
            <v>-</v>
          </cell>
          <cell r="E698">
            <v>3.7425552144653703E-5</v>
          </cell>
          <cell r="F698">
            <v>3.7403309265391942E-5</v>
          </cell>
          <cell r="G698">
            <v>3.7448618159983993E-5</v>
          </cell>
          <cell r="H698">
            <v>3.7552210230657206E-5</v>
          </cell>
          <cell r="I698">
            <v>2.2030261328933808E-5</v>
          </cell>
        </row>
        <row r="699">
          <cell r="A699" t="str">
            <v>RHSA-WHPLTBR</v>
          </cell>
          <cell r="B699" t="str">
            <v>VAR_fout</v>
          </cell>
          <cell r="C699" t="str">
            <v>RHSA-WHPLT</v>
          </cell>
          <cell r="D699">
            <v>0.16979404706050255</v>
          </cell>
          <cell r="E699">
            <v>0.19483659833896066</v>
          </cell>
          <cell r="F699">
            <v>3.735272891953649E-2</v>
          </cell>
          <cell r="G699">
            <v>3.4299959045112481E-2</v>
          </cell>
          <cell r="H699">
            <v>2.3225218994841781E-2</v>
          </cell>
          <cell r="I699">
            <v>9.2283592088279031E-3</v>
          </cell>
        </row>
        <row r="700">
          <cell r="A700" t="str">
            <v>RHSA-WHPLTBR</v>
          </cell>
          <cell r="B700" t="str">
            <v>VAR_fin</v>
          </cell>
          <cell r="C700" t="str">
            <v>RPLT</v>
          </cell>
          <cell r="D700">
            <v>0.2716704752968041</v>
          </cell>
          <cell r="E700">
            <v>0.31173855734233713</v>
          </cell>
          <cell r="F700">
            <v>8.465111506951821E-2</v>
          </cell>
          <cell r="G700">
            <v>7.7063960686891864E-2</v>
          </cell>
          <cell r="H700">
            <v>5.0408987308517728E-2</v>
          </cell>
          <cell r="I700">
            <v>1.857251487606713E-2</v>
          </cell>
        </row>
        <row r="701">
          <cell r="A701" t="str">
            <v>RHSA-WHPLTBR</v>
          </cell>
          <cell r="B701" t="str">
            <v>VAR_ncap</v>
          </cell>
          <cell r="C701" t="str">
            <v>-</v>
          </cell>
          <cell r="E701">
            <v>1.6833985122645301E-3</v>
          </cell>
          <cell r="F701">
            <v>2.0136818187333901E-7</v>
          </cell>
          <cell r="G701">
            <v>3.7066146550306301E-7</v>
          </cell>
          <cell r="H701">
            <v>7.1900522765585802E-4</v>
          </cell>
          <cell r="I701">
            <v>1.4879105000568999E-7</v>
          </cell>
        </row>
        <row r="702">
          <cell r="A702" t="str">
            <v>RHSA-WHPLTBR</v>
          </cell>
          <cell r="B702" t="str">
            <v>VAR_cap</v>
          </cell>
          <cell r="C702" t="str">
            <v>-</v>
          </cell>
          <cell r="D702">
            <v>1.12410901121583E-2</v>
          </cell>
          <cell r="E702">
            <v>1.2924418584921842E-2</v>
          </cell>
          <cell r="F702">
            <v>3.4115972448853903E-3</v>
          </cell>
          <cell r="G702">
            <v>3.2009074914711704E-3</v>
          </cell>
          <cell r="H702">
            <v>1.5982494781804583E-3</v>
          </cell>
          <cell r="I702">
            <v>8.8886407884214208E-4</v>
          </cell>
        </row>
        <row r="703">
          <cell r="A703" t="str">
            <v>ITOT-SWHCONBR8</v>
          </cell>
          <cell r="B703" t="str">
            <v>VAR_fout</v>
          </cell>
          <cell r="C703" t="str">
            <v>ITOT-ELS</v>
          </cell>
          <cell r="E703">
            <v>1.2874230142985988E-4</v>
          </cell>
          <cell r="F703">
            <v>1.2923810085657583E-4</v>
          </cell>
          <cell r="G703">
            <v>1.3033160719335996E-4</v>
          </cell>
          <cell r="H703">
            <v>1.8627017076532014E-4</v>
          </cell>
          <cell r="I703">
            <v>0.94128289479425864</v>
          </cell>
        </row>
        <row r="704">
          <cell r="A704" t="str">
            <v>ITOT-SWHCONBR8</v>
          </cell>
          <cell r="B704" t="str">
            <v>VAR_fout</v>
          </cell>
          <cell r="C704" t="str">
            <v>ITOT-SWHC</v>
          </cell>
          <cell r="E704">
            <v>4.9707669511445042E-4</v>
          </cell>
          <cell r="F704">
            <v>4.9899098698071671E-4</v>
          </cell>
          <cell r="G704">
            <v>5.0321303761938295E-4</v>
          </cell>
          <cell r="H704">
            <v>7.1919299137955691E-4</v>
          </cell>
          <cell r="I704">
            <v>3.6343127730010623</v>
          </cell>
        </row>
        <row r="705">
          <cell r="A705" t="str">
            <v>ITOT-SWHCONBR8</v>
          </cell>
          <cell r="B705" t="str">
            <v>VAR_fin</v>
          </cell>
          <cell r="C705" t="str">
            <v>CON</v>
          </cell>
          <cell r="E705">
            <v>6.2581899654431028E-4</v>
          </cell>
          <cell r="F705">
            <v>6.2822908783729246E-4</v>
          </cell>
          <cell r="G705">
            <v>6.3354464481274269E-4</v>
          </cell>
          <cell r="H705">
            <v>9.0546316214487805E-4</v>
          </cell>
          <cell r="I705">
            <v>4.5755956677953185</v>
          </cell>
        </row>
        <row r="706">
          <cell r="A706" t="str">
            <v>ITOT-SWHCONBR8</v>
          </cell>
          <cell r="B706" t="str">
            <v>VAR_ncap</v>
          </cell>
          <cell r="C706" t="str">
            <v>-</v>
          </cell>
          <cell r="E706">
            <v>3.3220922373924198E-5</v>
          </cell>
          <cell r="F706">
            <v>1.6427126094089499E-7</v>
          </cell>
          <cell r="G706">
            <v>1.8828679795190799E-7</v>
          </cell>
          <cell r="H706">
            <v>1.46832323481043E-5</v>
          </cell>
          <cell r="I706">
            <v>0.248811775520829</v>
          </cell>
        </row>
        <row r="707">
          <cell r="A707" t="str">
            <v>ITOT-SWHCONBR8</v>
          </cell>
          <cell r="B707" t="str">
            <v>VAR_cap</v>
          </cell>
          <cell r="C707" t="str">
            <v>-</v>
          </cell>
          <cell r="E707">
            <v>3.3220922373924198E-5</v>
          </cell>
          <cell r="F707">
            <v>3.33851936348651E-5</v>
          </cell>
          <cell r="G707">
            <v>3.3573480432817002E-5</v>
          </cell>
          <cell r="H707">
            <v>4.8442007302374398E-5</v>
          </cell>
          <cell r="I707">
            <v>0.24883664471258199</v>
          </cell>
        </row>
        <row r="708">
          <cell r="A708" t="str">
            <v>D-SCOM_KEV_HFC_ELC_CHP</v>
          </cell>
          <cell r="B708" t="str">
            <v>VAR_fout</v>
          </cell>
          <cell r="C708" t="str">
            <v>ELC5</v>
          </cell>
          <cell r="G708">
            <v>6.5576995260183243E-4</v>
          </cell>
          <cell r="H708">
            <v>4.5176571253279613E-4</v>
          </cell>
          <cell r="I708">
            <v>5.5188453382170645E-4</v>
          </cell>
        </row>
        <row r="709">
          <cell r="A709" t="str">
            <v>D-SCOM_KEV_HFC_ELC_CHP</v>
          </cell>
          <cell r="B709" t="str">
            <v>VAR_fout</v>
          </cell>
          <cell r="C709" t="str">
            <v>SCOM_ELC</v>
          </cell>
          <cell r="G709">
            <v>6.6109744186020893E-4</v>
          </cell>
          <cell r="H709">
            <v>4.5163672672125755E-4</v>
          </cell>
          <cell r="I709">
            <v>5.5013199514434088E-4</v>
          </cell>
        </row>
        <row r="710">
          <cell r="A710" t="str">
            <v>D-SCOM_KEV_HFC_ELC_CHP</v>
          </cell>
          <cell r="B710" t="str">
            <v>VAR_fin</v>
          </cell>
          <cell r="C710" t="str">
            <v>SCOM_KEV_HFC_ELC_CHP</v>
          </cell>
          <cell r="G710">
            <v>1.3089464410007683E-3</v>
          </cell>
          <cell r="H710">
            <v>8.9387743660763748E-4</v>
          </cell>
          <cell r="I710">
            <v>1.0897738802256708E-3</v>
          </cell>
        </row>
        <row r="711">
          <cell r="A711" t="str">
            <v>D-EH2R</v>
          </cell>
          <cell r="B711" t="str">
            <v>VAR_fout</v>
          </cell>
          <cell r="C711" t="str">
            <v>EH2</v>
          </cell>
          <cell r="H711">
            <v>9.3208457668582953E-4</v>
          </cell>
          <cell r="I711">
            <v>0.15772493520276784</v>
          </cell>
        </row>
        <row r="712">
          <cell r="A712" t="str">
            <v>D-EH2R</v>
          </cell>
          <cell r="B712" t="str">
            <v>VAR_fin</v>
          </cell>
          <cell r="C712" t="str">
            <v>H2</v>
          </cell>
          <cell r="H712">
            <v>9.3208457668582953E-4</v>
          </cell>
          <cell r="I712">
            <v>0.15772493520276784</v>
          </cell>
        </row>
        <row r="713">
          <cell r="A713" t="str">
            <v>D-EH2R</v>
          </cell>
          <cell r="B713" t="str">
            <v>VAR_ncap</v>
          </cell>
          <cell r="C713" t="str">
            <v>-</v>
          </cell>
          <cell r="H713">
            <v>2.7797705990874501E-4</v>
          </cell>
          <cell r="I713">
            <v>1.02959722935872E-2</v>
          </cell>
        </row>
        <row r="714">
          <cell r="A714" t="str">
            <v>D-EH2R</v>
          </cell>
          <cell r="B714" t="str">
            <v>VAR_cap</v>
          </cell>
          <cell r="C714" t="str">
            <v>-</v>
          </cell>
          <cell r="H714">
            <v>2.78170947411207E-4</v>
          </cell>
          <cell r="I714">
            <v>1.0391185342713501E-2</v>
          </cell>
        </row>
        <row r="715">
          <cell r="A715" t="str">
            <v>SCOM-ELCSPECADV</v>
          </cell>
          <cell r="B715" t="str">
            <v>VAR_fout</v>
          </cell>
          <cell r="C715" t="str">
            <v>SCOM-ELS</v>
          </cell>
          <cell r="F715">
            <v>6.5162439113882176</v>
          </cell>
          <cell r="G715">
            <v>14.781230489783086</v>
          </cell>
          <cell r="H715">
            <v>26.410840925240318</v>
          </cell>
          <cell r="I715">
            <v>34.081134757099413</v>
          </cell>
        </row>
        <row r="716">
          <cell r="A716" t="str">
            <v>SCOM-ELCSPECADV</v>
          </cell>
          <cell r="B716" t="str">
            <v>VAR_fin</v>
          </cell>
          <cell r="C716" t="str">
            <v>SCOM_ELC</v>
          </cell>
          <cell r="F716">
            <v>4.344162607592148</v>
          </cell>
          <cell r="G716">
            <v>9.8541536598553812</v>
          </cell>
          <cell r="H716">
            <v>17.607227283493536</v>
          </cell>
          <cell r="I716">
            <v>22.720756504732922</v>
          </cell>
        </row>
        <row r="717">
          <cell r="A717" t="str">
            <v>SCOM-ELCSPECADV</v>
          </cell>
          <cell r="B717" t="str">
            <v>VAR_ncap</v>
          </cell>
          <cell r="C717" t="str">
            <v>-</v>
          </cell>
          <cell r="F717">
            <v>0.68876230410856398</v>
          </cell>
          <cell r="G717">
            <v>0.87360339245714702</v>
          </cell>
          <cell r="H717">
            <v>0.60352275336213601</v>
          </cell>
          <cell r="I717">
            <v>1.5114546391275601</v>
          </cell>
        </row>
        <row r="718">
          <cell r="A718" t="str">
            <v>SCOM-ELCSPECADV</v>
          </cell>
          <cell r="B718" t="str">
            <v>VAR_cap</v>
          </cell>
          <cell r="C718" t="str">
            <v>-</v>
          </cell>
          <cell r="F718">
            <v>0.68876230410856398</v>
          </cell>
          <cell r="G718">
            <v>1.5623656668647354</v>
          </cell>
          <cell r="H718">
            <v>2.7916072046157807</v>
          </cell>
          <cell r="I718">
            <v>3.6023521911720233</v>
          </cell>
        </row>
        <row r="719">
          <cell r="A719" t="str">
            <v>RHSA-WHLTHRD</v>
          </cell>
          <cell r="B719" t="str">
            <v>VAR_fout</v>
          </cell>
          <cell r="C719" t="str">
            <v>RHSA-WHLTHRD</v>
          </cell>
          <cell r="D719">
            <v>1.3170522107368725</v>
          </cell>
          <cell r="E719">
            <v>1.463377829112078</v>
          </cell>
          <cell r="F719">
            <v>1.206782760013241</v>
          </cell>
          <cell r="G719">
            <v>1.5619607637584541</v>
          </cell>
          <cell r="H719">
            <v>1.6810870996235769</v>
          </cell>
          <cell r="I719">
            <v>1.6728289666827458</v>
          </cell>
        </row>
        <row r="720">
          <cell r="A720" t="str">
            <v>RHSA-WHLTHRD</v>
          </cell>
          <cell r="B720" t="str">
            <v>VAR_fin</v>
          </cell>
          <cell r="C720" t="str">
            <v>RHSA_LTH</v>
          </cell>
          <cell r="D720">
            <v>1.7104574165413942</v>
          </cell>
          <cell r="E720">
            <v>1.8955671361555422</v>
          </cell>
          <cell r="F720">
            <v>2.2073818855316154</v>
          </cell>
          <cell r="G720">
            <v>2.7950430755567059</v>
          </cell>
          <cell r="H720">
            <v>2.9435635715035993</v>
          </cell>
          <cell r="I720">
            <v>2.8478627131726584</v>
          </cell>
        </row>
        <row r="721">
          <cell r="A721" t="str">
            <v>RHSA-WHLTHRD</v>
          </cell>
          <cell r="B721" t="str">
            <v>VAR_ncap</v>
          </cell>
          <cell r="C721" t="str">
            <v>-</v>
          </cell>
          <cell r="E721">
            <v>4.4597343266906397E-2</v>
          </cell>
          <cell r="F721">
            <v>3.4204569652483301E-2</v>
          </cell>
          <cell r="G721">
            <v>7.9714731288505897E-2</v>
          </cell>
          <cell r="H721">
            <v>4.4696211154170801E-2</v>
          </cell>
          <cell r="I721">
            <v>5.9345501185677101E-2</v>
          </cell>
        </row>
        <row r="722">
          <cell r="A722" t="str">
            <v>RHSA-WHLTHRD</v>
          </cell>
          <cell r="B722" t="str">
            <v>VAR_cap</v>
          </cell>
          <cell r="C722" t="str">
            <v>-</v>
          </cell>
          <cell r="D722">
            <v>0.13737412127568699</v>
          </cell>
          <cell r="E722">
            <v>0.15802718563096918</v>
          </cell>
          <cell r="F722">
            <v>0.1252914992247891</v>
          </cell>
          <cell r="G722">
            <v>0.18745063206267196</v>
          </cell>
          <cell r="H722">
            <v>0.16480080350088999</v>
          </cell>
          <cell r="I722">
            <v>0.18135520195487997</v>
          </cell>
        </row>
        <row r="723">
          <cell r="A723" t="str">
            <v>RHES-SHCONBR7</v>
          </cell>
          <cell r="B723" t="str">
            <v>VAR_fout</v>
          </cell>
          <cell r="C723" t="str">
            <v>RHES-SHCON</v>
          </cell>
          <cell r="E723">
            <v>4.4110249364033588E-4</v>
          </cell>
          <cell r="F723">
            <v>2.2498241351086255E-4</v>
          </cell>
          <cell r="G723">
            <v>3.6458967772692727E-4</v>
          </cell>
          <cell r="H723">
            <v>3.4397875580307013E-4</v>
          </cell>
          <cell r="I723">
            <v>2.1514787047780676E-4</v>
          </cell>
        </row>
        <row r="724">
          <cell r="A724" t="str">
            <v>RHES-SHCONBR7</v>
          </cell>
          <cell r="B724" t="str">
            <v>VAR_fin</v>
          </cell>
          <cell r="C724" t="str">
            <v>CON</v>
          </cell>
          <cell r="E724">
            <v>4.4110249364033588E-4</v>
          </cell>
          <cell r="F724">
            <v>2.2498241351086255E-4</v>
          </cell>
          <cell r="G724">
            <v>3.6458967772692727E-4</v>
          </cell>
          <cell r="H724">
            <v>3.4397875580307013E-4</v>
          </cell>
          <cell r="I724">
            <v>2.1514787047780676E-4</v>
          </cell>
        </row>
        <row r="725">
          <cell r="A725" t="str">
            <v>RHES-SHCONBR7</v>
          </cell>
          <cell r="B725" t="str">
            <v>VAR_ncap</v>
          </cell>
          <cell r="C725" t="str">
            <v>-</v>
          </cell>
          <cell r="E725">
            <v>3.5471573918480001E-5</v>
          </cell>
          <cell r="F725">
            <v>4.2265396570637397E-8</v>
          </cell>
          <cell r="G725">
            <v>5.2792778587642101E-8</v>
          </cell>
          <cell r="H725">
            <v>8.9866164920225797E-8</v>
          </cell>
          <cell r="I725">
            <v>2.2513777559436799E-7</v>
          </cell>
        </row>
        <row r="726">
          <cell r="A726" t="str">
            <v>RHES-SHCONBR7</v>
          </cell>
          <cell r="B726" t="str">
            <v>VAR_cap</v>
          </cell>
          <cell r="C726" t="str">
            <v>-</v>
          </cell>
          <cell r="E726">
            <v>3.5471573918480001E-5</v>
          </cell>
          <cell r="F726">
            <v>3.5452175642202258E-5</v>
          </cell>
          <cell r="G726">
            <v>3.5497290014672246E-5</v>
          </cell>
          <cell r="H726">
            <v>3.5610580296762736E-5</v>
          </cell>
          <cell r="I726">
            <v>2.0910575550836341E-5</v>
          </cell>
        </row>
        <row r="727">
          <cell r="A727" t="str">
            <v>ITOT-SWHCONBR9</v>
          </cell>
          <cell r="B727" t="str">
            <v>VAR_fout</v>
          </cell>
          <cell r="C727" t="str">
            <v>ITOT-ELS</v>
          </cell>
          <cell r="E727">
            <v>2.8157319577955118E-5</v>
          </cell>
          <cell r="F727">
            <v>2.8451106399771632E-5</v>
          </cell>
          <cell r="G727">
            <v>2.777748535765429E-5</v>
          </cell>
          <cell r="H727">
            <v>3.7816116567711435E-5</v>
          </cell>
          <cell r="I727">
            <v>5.7274757957376998E-5</v>
          </cell>
        </row>
        <row r="728">
          <cell r="A728" t="str">
            <v>ITOT-SWHCONBR9</v>
          </cell>
          <cell r="B728" t="str">
            <v>VAR_fout</v>
          </cell>
          <cell r="C728" t="str">
            <v>ITOT-SWHC</v>
          </cell>
          <cell r="E728">
            <v>1.6342491495610785E-4</v>
          </cell>
          <cell r="F728">
            <v>1.6513005191836952E-4</v>
          </cell>
          <cell r="G728">
            <v>1.6122035940605887E-4</v>
          </cell>
          <cell r="H728">
            <v>2.1948451509876704E-4</v>
          </cell>
          <cell r="I728">
            <v>3.3242235371168654E-4</v>
          </cell>
        </row>
        <row r="729">
          <cell r="A729" t="str">
            <v>ITOT-SWHCONBR9</v>
          </cell>
          <cell r="B729" t="str">
            <v>VAR_fin</v>
          </cell>
          <cell r="C729" t="str">
            <v>CON</v>
          </cell>
          <cell r="E729">
            <v>1.9158223453406294E-4</v>
          </cell>
          <cell r="F729">
            <v>1.9358115831814114E-4</v>
          </cell>
          <cell r="G729">
            <v>1.889978447637131E-4</v>
          </cell>
          <cell r="H729">
            <v>2.5730063166647847E-4</v>
          </cell>
          <cell r="I729">
            <v>3.8969711166906342E-4</v>
          </cell>
        </row>
        <row r="730">
          <cell r="A730" t="str">
            <v>ITOT-SWHCONBR9</v>
          </cell>
          <cell r="B730" t="str">
            <v>VAR_ncap</v>
          </cell>
          <cell r="C730" t="str">
            <v>-</v>
          </cell>
          <cell r="E730">
            <v>9.5282776924151993E-6</v>
          </cell>
          <cell r="F730">
            <v>1.84442722536006E-7</v>
          </cell>
          <cell r="G730">
            <v>1.5000755211718901E-7</v>
          </cell>
          <cell r="H730">
            <v>2.10001403738853E-6</v>
          </cell>
          <cell r="I730">
            <v>1.35622319094755E-5</v>
          </cell>
        </row>
        <row r="731">
          <cell r="A731" t="str">
            <v>ITOT-SWHCONBR9</v>
          </cell>
          <cell r="B731" t="str">
            <v>VAR_cap</v>
          </cell>
          <cell r="C731" t="str">
            <v>-</v>
          </cell>
          <cell r="E731">
            <v>9.5282776924151993E-6</v>
          </cell>
          <cell r="F731">
            <v>9.7127204149511993E-6</v>
          </cell>
          <cell r="G731">
            <v>9.8627279670683902E-6</v>
          </cell>
          <cell r="H731">
            <v>1.34102359236559E-5</v>
          </cell>
          <cell r="I731">
            <v>1.9813289996515301E-5</v>
          </cell>
        </row>
        <row r="732">
          <cell r="A732" t="str">
            <v>SCOM-SHPLTBR</v>
          </cell>
          <cell r="B732" t="str">
            <v>VAR_fout</v>
          </cell>
          <cell r="C732" t="str">
            <v>SCOM-SHPLT</v>
          </cell>
          <cell r="D732">
            <v>1.877072582999288</v>
          </cell>
          <cell r="E732">
            <v>2.1600829286872552</v>
          </cell>
          <cell r="F732">
            <v>0.18842554703360778</v>
          </cell>
          <cell r="G732">
            <v>0.16723658017175563</v>
          </cell>
          <cell r="H732">
            <v>8.8537314285752677E-2</v>
          </cell>
          <cell r="I732">
            <v>3.1466126322158637E-2</v>
          </cell>
        </row>
        <row r="733">
          <cell r="A733" t="str">
            <v>SCOM-SHPLTBR</v>
          </cell>
          <cell r="B733" t="str">
            <v>VAR_fin</v>
          </cell>
          <cell r="C733" t="str">
            <v>SCOMPLTBRC</v>
          </cell>
          <cell r="D733">
            <v>1.877072582999288</v>
          </cell>
          <cell r="E733">
            <v>2.1600829286872552</v>
          </cell>
          <cell r="F733">
            <v>0.18842554703360778</v>
          </cell>
          <cell r="G733">
            <v>0.16723658017175563</v>
          </cell>
          <cell r="H733">
            <v>8.8537314285752677E-2</v>
          </cell>
          <cell r="I733">
            <v>3.1466126322158637E-2</v>
          </cell>
        </row>
        <row r="734">
          <cell r="A734" t="str">
            <v>SCOM-SHPLTBR</v>
          </cell>
          <cell r="B734" t="str">
            <v>VAR_fin</v>
          </cell>
          <cell r="C734" t="str">
            <v>SPLT</v>
          </cell>
          <cell r="D734">
            <v>2.085636203332542</v>
          </cell>
          <cell r="E734">
            <v>2.4000921429858377</v>
          </cell>
          <cell r="F734">
            <v>0.28621888394374079</v>
          </cell>
          <cell r="G734">
            <v>0.25403278952821806</v>
          </cell>
          <cell r="H734">
            <v>0.13448840500234571</v>
          </cell>
          <cell r="I734">
            <v>4.538862079517577E-2</v>
          </cell>
        </row>
        <row r="735">
          <cell r="A735" t="str">
            <v>SCOM-SHPLTBR</v>
          </cell>
          <cell r="B735" t="str">
            <v>VAR_ncap</v>
          </cell>
          <cell r="C735" t="str">
            <v>-</v>
          </cell>
          <cell r="D735">
            <v>1.5854847927290099E-4</v>
          </cell>
          <cell r="E735">
            <v>2.4148265378031001E-2</v>
          </cell>
          <cell r="F735">
            <v>5.5441373411928404E-7</v>
          </cell>
          <cell r="G735">
            <v>8.4156136286217296E-7</v>
          </cell>
          <cell r="H735">
            <v>3.7033977407645502E-3</v>
          </cell>
          <cell r="I735">
            <v>3.2894563890769998E-7</v>
          </cell>
        </row>
        <row r="736">
          <cell r="A736" t="str">
            <v>SCOM-SHPLTBR</v>
          </cell>
          <cell r="B736" t="str">
            <v>VAR_cap</v>
          </cell>
          <cell r="C736" t="str">
            <v>-</v>
          </cell>
          <cell r="D736">
            <v>0.15066941660346692</v>
          </cell>
          <cell r="E736">
            <v>0.17481752676060752</v>
          </cell>
          <cell r="F736">
            <v>2.2737719210595003E-2</v>
          </cell>
          <cell r="G736">
            <v>2.2703835266654898E-2</v>
          </cell>
          <cell r="H736">
            <v>6.9738443771703391E-3</v>
          </cell>
          <cell r="I736">
            <v>4.0656833902687666E-3</v>
          </cell>
        </row>
        <row r="737">
          <cell r="A737" t="str">
            <v>ITOT-SWHELCHP</v>
          </cell>
          <cell r="B737" t="str">
            <v>VAR_fout</v>
          </cell>
          <cell r="C737" t="str">
            <v>ITOT-SWHAELCH</v>
          </cell>
          <cell r="D737">
            <v>1.1081645019789372</v>
          </cell>
          <cell r="E737">
            <v>1.4007944489975612</v>
          </cell>
          <cell r="F737">
            <v>3.5676863017012685</v>
          </cell>
          <cell r="G737">
            <v>5.7736706663059048</v>
          </cell>
          <cell r="H737">
            <v>5.7737002645297721</v>
          </cell>
          <cell r="I737">
            <v>5.7737074262451555</v>
          </cell>
        </row>
        <row r="738">
          <cell r="A738" t="str">
            <v>ITOT-SWHELCHP</v>
          </cell>
          <cell r="B738" t="str">
            <v>VAR_fin</v>
          </cell>
          <cell r="C738" t="str">
            <v>ITOT_ELC</v>
          </cell>
          <cell r="D738">
            <v>0.35967920480721222</v>
          </cell>
          <cell r="E738">
            <v>0.45106345010758231</v>
          </cell>
          <cell r="F738">
            <v>1.1353476575492407</v>
          </cell>
          <cell r="G738">
            <v>1.8021508064065737</v>
          </cell>
          <cell r="H738">
            <v>1.7356404759787762</v>
          </cell>
          <cell r="I738">
            <v>1.6738587903032429</v>
          </cell>
        </row>
        <row r="739">
          <cell r="A739" t="str">
            <v>ITOT-SWHELCHP</v>
          </cell>
          <cell r="B739" t="str">
            <v>VAR_fin</v>
          </cell>
          <cell r="C739" t="str">
            <v>ITOTELCHPC</v>
          </cell>
          <cell r="D739">
            <v>1.1081645019789372</v>
          </cell>
          <cell r="E739">
            <v>1.4007944489975612</v>
          </cell>
          <cell r="F739">
            <v>3.5676863017012685</v>
          </cell>
          <cell r="G739">
            <v>5.7736706663059048</v>
          </cell>
          <cell r="H739">
            <v>5.7737002645297721</v>
          </cell>
          <cell r="I739">
            <v>5.7737074262451555</v>
          </cell>
        </row>
        <row r="740">
          <cell r="A740" t="str">
            <v>ITOT-SWHELCHP</v>
          </cell>
          <cell r="B740" t="str">
            <v>VAR_ncap</v>
          </cell>
          <cell r="C740" t="str">
            <v>-</v>
          </cell>
          <cell r="E740">
            <v>1.6099692217465499E-2</v>
          </cell>
          <cell r="F740">
            <v>0.11783126613624401</v>
          </cell>
          <cell r="G740">
            <v>0.120176395025547</v>
          </cell>
          <cell r="H740">
            <v>0.15912571273796799</v>
          </cell>
          <cell r="I740">
            <v>0.17778393199213299</v>
          </cell>
        </row>
        <row r="741">
          <cell r="A741" t="str">
            <v>ITOT-SWHELCHP</v>
          </cell>
          <cell r="B741" t="str">
            <v>VAR_cap</v>
          </cell>
          <cell r="C741" t="str">
            <v>-</v>
          </cell>
          <cell r="D741">
            <v>6.02631234918991E-2</v>
          </cell>
          <cell r="E741">
            <v>7.6362486766116081E-2</v>
          </cell>
          <cell r="F741">
            <v>0.19419294066553955</v>
          </cell>
          <cell r="G741">
            <v>0.31436827167845299</v>
          </cell>
          <cell r="H741">
            <v>0.31662253597875795</v>
          </cell>
          <cell r="I741">
            <v>0.31633806231852968</v>
          </cell>
        </row>
        <row r="742">
          <cell r="A742" t="str">
            <v>RHES-SHCONBR8</v>
          </cell>
          <cell r="B742" t="str">
            <v>VAR_fout</v>
          </cell>
          <cell r="C742" t="str">
            <v>RHES-SHCON</v>
          </cell>
          <cell r="E742">
            <v>1.0937487250739874E-4</v>
          </cell>
          <cell r="F742">
            <v>6.0645441200228566E-5</v>
          </cell>
          <cell r="G742">
            <v>7.4267982821130617E-5</v>
          </cell>
          <cell r="H742">
            <v>7.1468077251567299E-5</v>
          </cell>
          <cell r="I742">
            <v>4.6537733626273491E-5</v>
          </cell>
        </row>
        <row r="743">
          <cell r="A743" t="str">
            <v>RHES-SHCONBR8</v>
          </cell>
          <cell r="B743" t="str">
            <v>VAR_fin</v>
          </cell>
          <cell r="C743" t="str">
            <v>CON</v>
          </cell>
          <cell r="E743">
            <v>1.0937487250739874E-4</v>
          </cell>
          <cell r="F743">
            <v>6.0645441200228566E-5</v>
          </cell>
          <cell r="G743">
            <v>7.4267982821130617E-5</v>
          </cell>
          <cell r="H743">
            <v>7.1468077251567299E-5</v>
          </cell>
          <cell r="I743">
            <v>4.6537733626273491E-5</v>
          </cell>
        </row>
        <row r="744">
          <cell r="A744" t="str">
            <v>RHES-SHCONBR8</v>
          </cell>
          <cell r="B744" t="str">
            <v>VAR_ncap</v>
          </cell>
          <cell r="C744" t="str">
            <v>-</v>
          </cell>
          <cell r="E744">
            <v>8.0144481015053608E-6</v>
          </cell>
          <cell r="F744">
            <v>4.4140682798884699E-8</v>
          </cell>
          <cell r="G744">
            <v>3.3729654289805097E-8</v>
          </cell>
          <cell r="H744">
            <v>5.1407297820846398E-8</v>
          </cell>
          <cell r="I744">
            <v>7.0561073718923296E-8</v>
          </cell>
        </row>
        <row r="745">
          <cell r="A745" t="str">
            <v>RHES-SHCONBR8</v>
          </cell>
          <cell r="B745" t="str">
            <v>VAR_cap</v>
          </cell>
          <cell r="C745" t="str">
            <v>-</v>
          </cell>
          <cell r="E745">
            <v>8.0144481015053608E-6</v>
          </cell>
          <cell r="F745">
            <v>8.0366046219254521E-6</v>
          </cell>
          <cell r="G745">
            <v>8.057696167707797E-6</v>
          </cell>
          <cell r="H745">
            <v>8.244013886016534E-6</v>
          </cell>
          <cell r="I745">
            <v>4.9585980709766597E-6</v>
          </cell>
        </row>
        <row r="746">
          <cell r="A746" t="str">
            <v>RHEM-SHWODBR</v>
          </cell>
          <cell r="B746" t="str">
            <v>VAR_fout</v>
          </cell>
          <cell r="C746" t="str">
            <v>RHEM-SHWOD</v>
          </cell>
          <cell r="D746">
            <v>4.7439212746666275</v>
          </cell>
          <cell r="E746">
            <v>4.5588020017591742</v>
          </cell>
          <cell r="F746">
            <v>4.7644378081264556</v>
          </cell>
          <cell r="G746">
            <v>3.9286950466009332</v>
          </cell>
          <cell r="H746">
            <v>2.2797307392111001</v>
          </cell>
          <cell r="I746">
            <v>0.9938575960958892</v>
          </cell>
        </row>
        <row r="747">
          <cell r="A747" t="str">
            <v>RHEM-SHWODBR</v>
          </cell>
          <cell r="B747" t="str">
            <v>VAR_fin</v>
          </cell>
          <cell r="C747" t="str">
            <v>RHEMWODBRC</v>
          </cell>
          <cell r="D747">
            <v>4.7439212746666275</v>
          </cell>
          <cell r="E747">
            <v>4.5588020017591742</v>
          </cell>
          <cell r="F747">
            <v>4.7644378081264556</v>
          </cell>
          <cell r="G747">
            <v>3.9286950466009332</v>
          </cell>
          <cell r="H747">
            <v>2.2797307392111001</v>
          </cell>
          <cell r="I747">
            <v>0.9938575960958892</v>
          </cell>
        </row>
        <row r="748">
          <cell r="A748" t="str">
            <v>RHEM-SHWODBR</v>
          </cell>
          <cell r="B748" t="str">
            <v>VAR_fin</v>
          </cell>
          <cell r="C748" t="str">
            <v>RWOD</v>
          </cell>
          <cell r="D748">
            <v>6.5887795481480929</v>
          </cell>
          <cell r="E748">
            <v>6.3316694468877408</v>
          </cell>
          <cell r="F748">
            <v>6.6530627208438089</v>
          </cell>
          <cell r="G748">
            <v>5.4575194626211632</v>
          </cell>
          <cell r="H748">
            <v>3.1668721372366955</v>
          </cell>
          <cell r="I748">
            <v>1.3217130030311712</v>
          </cell>
        </row>
        <row r="749">
          <cell r="A749" t="str">
            <v>RHEM-SHWODBR</v>
          </cell>
          <cell r="B749" t="str">
            <v>VAR_ncap</v>
          </cell>
          <cell r="C749" t="str">
            <v>-</v>
          </cell>
          <cell r="D749">
            <v>8.3937777750920805E-6</v>
          </cell>
          <cell r="E749">
            <v>7.8638267454735498E-6</v>
          </cell>
          <cell r="F749">
            <v>1.3806810488714899E-3</v>
          </cell>
          <cell r="G749">
            <v>5.2150537628013902E-7</v>
          </cell>
          <cell r="H749">
            <v>2.7650555004061501E-2</v>
          </cell>
          <cell r="I749">
            <v>5.79448483084242E-7</v>
          </cell>
        </row>
        <row r="750">
          <cell r="A750" t="str">
            <v>RHEM-SHWODBR</v>
          </cell>
          <cell r="B750" t="str">
            <v>VAR_cap</v>
          </cell>
          <cell r="C750" t="str">
            <v>-</v>
          </cell>
          <cell r="D750">
            <v>0.33508017273276813</v>
          </cell>
          <cell r="E750">
            <v>0.33508784258899094</v>
          </cell>
          <cell r="F750">
            <v>0.33646819449511289</v>
          </cell>
          <cell r="G750">
            <v>0.33645673368033391</v>
          </cell>
          <cell r="H750">
            <v>0.16102074035461356</v>
          </cell>
          <cell r="I750">
            <v>7.6377095176566837E-2</v>
          </cell>
        </row>
        <row r="751">
          <cell r="A751" t="str">
            <v>RHES-SHCONBR9</v>
          </cell>
          <cell r="B751" t="str">
            <v>VAR_fout</v>
          </cell>
          <cell r="C751" t="str">
            <v>RHES-SHCON</v>
          </cell>
          <cell r="E751">
            <v>3.0250359708805548E-5</v>
          </cell>
          <cell r="F751">
            <v>2.1269324473986992E-5</v>
          </cell>
          <cell r="G751">
            <v>1.8460405683207774E-5</v>
          </cell>
          <cell r="H751">
            <v>2.0207911278295318E-5</v>
          </cell>
          <cell r="I751">
            <v>1.3731178316417475E-5</v>
          </cell>
        </row>
        <row r="752">
          <cell r="A752" t="str">
            <v>RHES-SHCONBR9</v>
          </cell>
          <cell r="B752" t="str">
            <v>VAR_fin</v>
          </cell>
          <cell r="C752" t="str">
            <v>CON</v>
          </cell>
          <cell r="E752">
            <v>3.0250359708805548E-5</v>
          </cell>
          <cell r="F752">
            <v>2.1269324473986992E-5</v>
          </cell>
          <cell r="G752">
            <v>1.8460405683207774E-5</v>
          </cell>
          <cell r="H752">
            <v>2.0207911278295318E-5</v>
          </cell>
          <cell r="I752">
            <v>1.3731178316417475E-5</v>
          </cell>
        </row>
        <row r="753">
          <cell r="A753" t="str">
            <v>RHES-SHCONBR9</v>
          </cell>
          <cell r="B753" t="str">
            <v>VAR_ncap</v>
          </cell>
          <cell r="C753" t="str">
            <v>-</v>
          </cell>
          <cell r="E753">
            <v>1.1717439535459299E-6</v>
          </cell>
          <cell r="F753">
            <v>4.4599374842670199E-8</v>
          </cell>
          <cell r="G753">
            <v>1.7307505522383998E-8</v>
          </cell>
          <cell r="H753">
            <v>3.56422787152533E-8</v>
          </cell>
          <cell r="I753">
            <v>3.2671597727275502E-8</v>
          </cell>
        </row>
        <row r="754">
          <cell r="A754" t="str">
            <v>RHES-SHCONBR9</v>
          </cell>
          <cell r="B754" t="str">
            <v>VAR_cap</v>
          </cell>
          <cell r="C754" t="str">
            <v>-</v>
          </cell>
          <cell r="E754">
            <v>1.1717439535459299E-6</v>
          </cell>
          <cell r="F754">
            <v>1.2163433283886E-6</v>
          </cell>
          <cell r="G754">
            <v>1.2336508339109799E-6</v>
          </cell>
          <cell r="H754">
            <v>1.3822148146018E-6</v>
          </cell>
          <cell r="I754">
            <v>9.1146894688487995E-7</v>
          </cell>
        </row>
        <row r="755">
          <cell r="A755" t="str">
            <v>D-RHNS_LTH_CHPNGA</v>
          </cell>
          <cell r="B755" t="str">
            <v>VAR_fout</v>
          </cell>
          <cell r="C755" t="str">
            <v>RHSA_LTH</v>
          </cell>
          <cell r="D755">
            <v>8.3938740863191896E-6</v>
          </cell>
          <cell r="E755">
            <v>1.686905503087252E-4</v>
          </cell>
          <cell r="F755">
            <v>1.353273812669382E-3</v>
          </cell>
          <cell r="G755">
            <v>1.6552617010608223E-3</v>
          </cell>
          <cell r="H755">
            <v>4.4319872945806386E-3</v>
          </cell>
          <cell r="I755">
            <v>3.5963719320757821E-3</v>
          </cell>
        </row>
        <row r="756">
          <cell r="A756" t="str">
            <v>D-RHNS_LTH_CHPNGA</v>
          </cell>
          <cell r="B756" t="str">
            <v>VAR_fout</v>
          </cell>
          <cell r="C756" t="str">
            <v>LTH</v>
          </cell>
          <cell r="G756">
            <v>2.1862867941249379E-7</v>
          </cell>
          <cell r="H756">
            <v>5.3746706133910832E-6</v>
          </cell>
          <cell r="I756">
            <v>6.8840187799625794E-6</v>
          </cell>
        </row>
        <row r="757">
          <cell r="A757" t="str">
            <v>D-RHNS_LTH_CHPNGA</v>
          </cell>
          <cell r="B757" t="str">
            <v>VAR_fout</v>
          </cell>
          <cell r="C757" t="str">
            <v>RHNS_LTH_CHPNGA_ON</v>
          </cell>
          <cell r="D757">
            <v>1.2555428570884828E-5</v>
          </cell>
          <cell r="E757">
            <v>8.769149117690677E-4</v>
          </cell>
          <cell r="F757">
            <v>2.6960391967747056E-4</v>
          </cell>
        </row>
        <row r="758">
          <cell r="A758" t="str">
            <v>D-RHNS_LTH_CHPNGA</v>
          </cell>
          <cell r="B758" t="str">
            <v>VAR_fin</v>
          </cell>
          <cell r="C758" t="str">
            <v>RHNS_LTH_CHPNGA</v>
          </cell>
          <cell r="D758">
            <v>2.0949302657204036E-5</v>
          </cell>
          <cell r="E758">
            <v>1.0458923124717003E-3</v>
          </cell>
          <cell r="F758">
            <v>1.623474720538326E-3</v>
          </cell>
          <cell r="G758">
            <v>1.6563798657316853E-3</v>
          </cell>
          <cell r="H758">
            <v>4.4377658489545401E-3</v>
          </cell>
          <cell r="I758">
            <v>3.6036092626447625E-3</v>
          </cell>
        </row>
        <row r="759">
          <cell r="A759" t="str">
            <v>D-SLFO</v>
          </cell>
          <cell r="B759" t="str">
            <v>VAR_fout</v>
          </cell>
          <cell r="C759" t="str">
            <v>CO2</v>
          </cell>
          <cell r="D759">
            <v>2267.7888438954901</v>
          </cell>
          <cell r="E759">
            <v>1898.7866979217799</v>
          </cell>
          <cell r="F759">
            <v>1832.9543916322</v>
          </cell>
          <cell r="G759">
            <v>919.81988515123999</v>
          </cell>
          <cell r="H759">
            <v>177.47470370384701</v>
          </cell>
          <cell r="I759">
            <v>1.07510528403909E-4</v>
          </cell>
        </row>
        <row r="760">
          <cell r="A760" t="str">
            <v>D-SLFO</v>
          </cell>
          <cell r="B760" t="str">
            <v>VAR_fout</v>
          </cell>
          <cell r="C760" t="str">
            <v>SLFO</v>
          </cell>
          <cell r="D760">
            <v>30.256636734487458</v>
          </cell>
          <cell r="E760">
            <v>25.333442974615789</v>
          </cell>
          <cell r="F760">
            <v>24.45568841767529</v>
          </cell>
          <cell r="G760">
            <v>12.272694350011111</v>
          </cell>
          <cell r="H760">
            <v>2.3687169213460373</v>
          </cell>
          <cell r="I760">
            <v>7.9231004973455268E-2</v>
          </cell>
        </row>
        <row r="761">
          <cell r="A761" t="str">
            <v>D-SLFO</v>
          </cell>
          <cell r="B761" t="str">
            <v>VAR_fin</v>
          </cell>
          <cell r="C761" t="str">
            <v>LFO</v>
          </cell>
          <cell r="D761">
            <v>30.770540622733975</v>
          </cell>
          <cell r="E761">
            <v>25.763727244528926</v>
          </cell>
          <cell r="F761">
            <v>24.870480212105758</v>
          </cell>
          <cell r="G761">
            <v>12.480595456597564</v>
          </cell>
          <cell r="H761">
            <v>2.4080692497129887</v>
          </cell>
          <cell r="I761">
            <v>1.4587588657246874E-6</v>
          </cell>
        </row>
        <row r="762">
          <cell r="A762" t="str">
            <v>D-SLFO</v>
          </cell>
          <cell r="B762" t="str">
            <v>VAR_fin</v>
          </cell>
          <cell r="C762" t="str">
            <v>BDS</v>
          </cell>
          <cell r="F762">
            <v>5.8706247684827296E-4</v>
          </cell>
          <cell r="G762">
            <v>5.5402078635596137E-4</v>
          </cell>
          <cell r="H762">
            <v>8.860137554508752E-4</v>
          </cell>
          <cell r="I762">
            <v>8.0579900541362659E-2</v>
          </cell>
        </row>
        <row r="763">
          <cell r="A763" t="str">
            <v>D-RCOA</v>
          </cell>
          <cell r="B763" t="str">
            <v>VAR_fout</v>
          </cell>
          <cell r="C763" t="str">
            <v>CO2</v>
          </cell>
          <cell r="D763">
            <v>9.2700779640888502</v>
          </cell>
          <cell r="E763">
            <v>9.2699703994364704</v>
          </cell>
          <cell r="F763">
            <v>2.4015047353697399</v>
          </cell>
        </row>
        <row r="764">
          <cell r="A764" t="str">
            <v>D-RCOA</v>
          </cell>
          <cell r="B764" t="str">
            <v>VAR_fout</v>
          </cell>
          <cell r="C764" t="str">
            <v>RCOA</v>
          </cell>
          <cell r="D764">
            <v>0.10000084103655721</v>
          </cell>
          <cell r="E764">
            <v>9.9999680684320025E-2</v>
          </cell>
          <cell r="F764">
            <v>2.590619995005115E-2</v>
          </cell>
        </row>
        <row r="765">
          <cell r="A765" t="str">
            <v>D-RCOA</v>
          </cell>
          <cell r="B765" t="str">
            <v>VAR_fin</v>
          </cell>
          <cell r="C765" t="str">
            <v>COA</v>
          </cell>
          <cell r="D765">
            <v>0.10000084103655721</v>
          </cell>
          <cell r="E765">
            <v>9.9999680684320025E-2</v>
          </cell>
          <cell r="F765">
            <v>2.590619995005115E-2</v>
          </cell>
        </row>
        <row r="766">
          <cell r="A766" t="str">
            <v>D-RHEM_KEV_WOD_ELC_CHP</v>
          </cell>
          <cell r="B766" t="str">
            <v>VAR_fout</v>
          </cell>
          <cell r="C766" t="str">
            <v>ELC5</v>
          </cell>
          <cell r="G766">
            <v>1.3491243385266624E-3</v>
          </cell>
          <cell r="H766">
            <v>8.4226951474259857E-4</v>
          </cell>
          <cell r="I766">
            <v>4.6675649929247122E-4</v>
          </cell>
        </row>
        <row r="767">
          <cell r="A767" t="str">
            <v>D-RHEM_KEV_WOD_ELC_CHP</v>
          </cell>
          <cell r="B767" t="str">
            <v>VAR_fout</v>
          </cell>
          <cell r="C767" t="str">
            <v>RHEM_ELC</v>
          </cell>
          <cell r="G767">
            <v>1.3481274836856349E-3</v>
          </cell>
          <cell r="H767">
            <v>8.4183578626930886E-4</v>
          </cell>
          <cell r="I767">
            <v>4.6657098576640869E-4</v>
          </cell>
        </row>
        <row r="768">
          <cell r="A768" t="str">
            <v>D-RHEM_KEV_WOD_ELC_CHP</v>
          </cell>
          <cell r="B768" t="str">
            <v>VAR_fin</v>
          </cell>
          <cell r="C768" t="str">
            <v>RHEM_KEV_WOD_ELC_CHP</v>
          </cell>
          <cell r="G768">
            <v>2.691729819300985E-3</v>
          </cell>
          <cell r="H768">
            <v>1.6788678815942994E-3</v>
          </cell>
          <cell r="I768">
            <v>9.2974733970670827E-4</v>
          </cell>
        </row>
        <row r="769">
          <cell r="A769" t="str">
            <v>RHES-SHSTG-SOL</v>
          </cell>
          <cell r="B769" t="str">
            <v>VAR_fout</v>
          </cell>
          <cell r="C769" t="str">
            <v>RHES-SHASOL</v>
          </cell>
          <cell r="D769">
            <v>1.6081597265086412E-5</v>
          </cell>
          <cell r="E769">
            <v>3.7918156354649244E-6</v>
          </cell>
          <cell r="F769">
            <v>2.9915782182342986E-3</v>
          </cell>
          <cell r="G769">
            <v>2.3629646050756068E-3</v>
          </cell>
          <cell r="H769">
            <v>3.0283966935966853E-3</v>
          </cell>
          <cell r="I769">
            <v>3.9249337558457413E-3</v>
          </cell>
        </row>
        <row r="770">
          <cell r="A770" t="str">
            <v>RHES-SHSTG-SOL</v>
          </cell>
          <cell r="B770" t="str">
            <v>VAR_fin</v>
          </cell>
          <cell r="C770" t="str">
            <v>RHES-SHASOL</v>
          </cell>
          <cell r="D770">
            <v>3.0230247508345078E-7</v>
          </cell>
          <cell r="E770">
            <v>3.0002179092227901E-6</v>
          </cell>
          <cell r="F770">
            <v>2.9899852668053861E-3</v>
          </cell>
          <cell r="G770">
            <v>2.3600784283222217E-3</v>
          </cell>
          <cell r="H770">
            <v>3.0275321431388045E-3</v>
          </cell>
          <cell r="I770">
            <v>3.9237825069055408E-3</v>
          </cell>
        </row>
        <row r="771">
          <cell r="A771" t="str">
            <v>RHES-SHSTG-SOL</v>
          </cell>
          <cell r="B771" t="str">
            <v>VAR_ncap</v>
          </cell>
          <cell r="C771" t="str">
            <v>-</v>
          </cell>
          <cell r="D771">
            <v>1.00245141829042E-2</v>
          </cell>
          <cell r="E771">
            <v>1.1396510461694799E-3</v>
          </cell>
          <cell r="F771">
            <v>2.01807358191958E-7</v>
          </cell>
          <cell r="G771">
            <v>2.4088343479014901E-7</v>
          </cell>
          <cell r="H771">
            <v>7.2754312956784602E-4</v>
          </cell>
          <cell r="I771">
            <v>2.8446641805700301E-4</v>
          </cell>
        </row>
        <row r="772">
          <cell r="A772" t="str">
            <v>RHES-SHSTG-SOL</v>
          </cell>
          <cell r="B772" t="str">
            <v>VAR_cap</v>
          </cell>
          <cell r="C772" t="str">
            <v>-</v>
          </cell>
          <cell r="D772">
            <v>1.00245141829042E-2</v>
          </cell>
          <cell r="E772">
            <v>1.1164165229073699E-2</v>
          </cell>
          <cell r="F772">
            <v>1.1164367036431901E-2</v>
          </cell>
          <cell r="G772">
            <v>1.11646079198667E-2</v>
          </cell>
          <cell r="H772">
            <v>7.9265213544570503E-4</v>
          </cell>
          <cell r="I772">
            <v>8.3992490763768401E-4</v>
          </cell>
        </row>
        <row r="773">
          <cell r="A773" t="str">
            <v>D-ITOT_LTH</v>
          </cell>
          <cell r="B773" t="str">
            <v>VAR_fout</v>
          </cell>
          <cell r="C773" t="str">
            <v>ITOT_LTH_DH</v>
          </cell>
          <cell r="D773">
            <v>7.1200114207313234</v>
          </cell>
          <cell r="E773">
            <v>7.6289076313582243</v>
          </cell>
          <cell r="F773">
            <v>7.329777532220243</v>
          </cell>
          <cell r="G773">
            <v>6.8811466718712637</v>
          </cell>
          <cell r="H773">
            <v>8.6914098623231695</v>
          </cell>
          <cell r="I773">
            <v>6.5616482030676737</v>
          </cell>
        </row>
        <row r="774">
          <cell r="A774" t="str">
            <v>D-ITOT_LTH</v>
          </cell>
          <cell r="B774" t="str">
            <v>VAR_fin</v>
          </cell>
          <cell r="C774" t="str">
            <v>LTH</v>
          </cell>
          <cell r="D774">
            <v>7.7403481063144204</v>
          </cell>
          <cell r="E774">
            <v>8.2914026523250222</v>
          </cell>
          <cell r="F774">
            <v>7.9631568477928782</v>
          </cell>
          <cell r="G774">
            <v>7.4708523429891969</v>
          </cell>
          <cell r="H774">
            <v>9.4238822803200062</v>
          </cell>
          <cell r="I774">
            <v>7.1053192267544532</v>
          </cell>
        </row>
        <row r="775">
          <cell r="A775" t="str">
            <v>D-ITOT_LTH</v>
          </cell>
          <cell r="B775" t="str">
            <v>VAR_ncap</v>
          </cell>
          <cell r="C775" t="str">
            <v>-</v>
          </cell>
          <cell r="D775">
            <v>0.79547237191090303</v>
          </cell>
          <cell r="E775">
            <v>8.1913258052722596E-8</v>
          </cell>
          <cell r="F775">
            <v>9.3467575283023202E-8</v>
          </cell>
          <cell r="G775">
            <v>1.07214465356042E-7</v>
          </cell>
          <cell r="H775">
            <v>1.9702547439252399E-7</v>
          </cell>
          <cell r="I775">
            <v>1.93392704538471E-7</v>
          </cell>
        </row>
        <row r="776">
          <cell r="A776" t="str">
            <v>D-ITOT_LTH</v>
          </cell>
          <cell r="B776" t="str">
            <v>VAR_cap</v>
          </cell>
          <cell r="C776" t="str">
            <v>-</v>
          </cell>
          <cell r="D776">
            <v>0.79547237191090303</v>
          </cell>
          <cell r="E776">
            <v>0.79547245382416099</v>
          </cell>
          <cell r="F776">
            <v>0.795472547291736</v>
          </cell>
          <cell r="G776">
            <v>0.79547265450620197</v>
          </cell>
          <cell r="H776">
            <v>0.795473006393694</v>
          </cell>
          <cell r="I776">
            <v>0.79547319978639897</v>
          </cell>
        </row>
        <row r="777">
          <cell r="A777" t="str">
            <v>D-IH2</v>
          </cell>
          <cell r="B777" t="str">
            <v>VAR_fout</v>
          </cell>
          <cell r="C777" t="str">
            <v>IH2</v>
          </cell>
          <cell r="G777">
            <v>2.9680037177921501</v>
          </cell>
          <cell r="H777">
            <v>2.2572524331619173</v>
          </cell>
          <cell r="I777">
            <v>11.226437771775752</v>
          </cell>
        </row>
        <row r="778">
          <cell r="A778" t="str">
            <v>D-IH2</v>
          </cell>
          <cell r="B778" t="str">
            <v>VAR_fin</v>
          </cell>
          <cell r="C778" t="str">
            <v>H2</v>
          </cell>
          <cell r="G778">
            <v>2.9906151217542032</v>
          </cell>
          <cell r="H778">
            <v>2.2744490580531163</v>
          </cell>
          <cell r="I778">
            <v>11.311965130785028</v>
          </cell>
        </row>
        <row r="779">
          <cell r="A779" t="str">
            <v>D-IH2</v>
          </cell>
          <cell r="B779" t="str">
            <v>VAR_ncap</v>
          </cell>
          <cell r="C779" t="str">
            <v>-</v>
          </cell>
          <cell r="G779">
            <v>0.149857802137353</v>
          </cell>
          <cell r="H779">
            <v>3.33441348507708E-5</v>
          </cell>
          <cell r="I779">
            <v>0.33417870423545498</v>
          </cell>
        </row>
        <row r="780">
          <cell r="A780" t="str">
            <v>D-IH2</v>
          </cell>
          <cell r="B780" t="str">
            <v>VAR_cap</v>
          </cell>
          <cell r="C780" t="str">
            <v>-</v>
          </cell>
          <cell r="G780">
            <v>0.149857802137353</v>
          </cell>
          <cell r="H780">
            <v>0.14989792928238799</v>
          </cell>
          <cell r="I780">
            <v>0.48407663351784302</v>
          </cell>
        </row>
        <row r="781">
          <cell r="A781" t="str">
            <v>D-RHNM_LTH_CHPWOD</v>
          </cell>
          <cell r="B781" t="str">
            <v>VAR_fout</v>
          </cell>
          <cell r="C781" t="str">
            <v>RHNM_LTH_CHPWOD_ON</v>
          </cell>
          <cell r="D781">
            <v>1.3549295782097681E-5</v>
          </cell>
          <cell r="E781">
            <v>4.1705768488149535E-6</v>
          </cell>
          <cell r="F781">
            <v>1.2892718492631271E-6</v>
          </cell>
          <cell r="I781">
            <v>7.9042702602686058E-4</v>
          </cell>
        </row>
        <row r="782">
          <cell r="A782" t="str">
            <v>D-RHNM_LTH_CHPWOD</v>
          </cell>
          <cell r="B782" t="str">
            <v>VAR_fout</v>
          </cell>
          <cell r="C782" t="str">
            <v>RHSA_LTH</v>
          </cell>
          <cell r="D782">
            <v>7.4000553014496483E-6</v>
          </cell>
          <cell r="E782">
            <v>1.9520812664826847E-5</v>
          </cell>
          <cell r="F782">
            <v>7.150536050434575E-6</v>
          </cell>
          <cell r="G782">
            <v>7.825136284187904E-3</v>
          </cell>
          <cell r="H782">
            <v>3.9440616071990198E-3</v>
          </cell>
          <cell r="I782">
            <v>1.4926690644004666E-3</v>
          </cell>
        </row>
        <row r="783">
          <cell r="A783" t="str">
            <v>D-RHNM_LTH_CHPWOD</v>
          </cell>
          <cell r="B783" t="str">
            <v>VAR_fout</v>
          </cell>
          <cell r="C783" t="str">
            <v>LTH</v>
          </cell>
          <cell r="G783">
            <v>4.4414212397503382E-6</v>
          </cell>
          <cell r="H783">
            <v>4.9126128708238807E-6</v>
          </cell>
          <cell r="I783">
            <v>3.7556194026380296E-6</v>
          </cell>
        </row>
        <row r="784">
          <cell r="A784" t="str">
            <v>D-RHNM_LTH_CHPWOD</v>
          </cell>
          <cell r="B784" t="str">
            <v>VAR_fin</v>
          </cell>
          <cell r="C784" t="str">
            <v>RHNM_LTH_CHPWOD</v>
          </cell>
          <cell r="D784">
            <v>2.0949351083547328E-5</v>
          </cell>
          <cell r="E784">
            <v>2.4299916940877159E-5</v>
          </cell>
          <cell r="F784">
            <v>8.9792893986703957E-6</v>
          </cell>
          <cell r="G784">
            <v>7.8299090263081583E-3</v>
          </cell>
          <cell r="H784">
            <v>3.9491740055372249E-3</v>
          </cell>
          <cell r="I784">
            <v>2.287486431419173E-3</v>
          </cell>
        </row>
        <row r="785">
          <cell r="A785" t="str">
            <v>RHNS-SHWODBR</v>
          </cell>
          <cell r="B785" t="str">
            <v>VAR_fout</v>
          </cell>
          <cell r="C785" t="str">
            <v>RHNS-SHWOD</v>
          </cell>
          <cell r="E785">
            <v>2.6569388615942879E-2</v>
          </cell>
          <cell r="F785">
            <v>1.7675898036706575E-3</v>
          </cell>
          <cell r="G785">
            <v>8.3300878179372508E-3</v>
          </cell>
          <cell r="H785">
            <v>1.0623270722421916E-2</v>
          </cell>
          <cell r="I785">
            <v>1.1221403288644885E-2</v>
          </cell>
        </row>
        <row r="786">
          <cell r="A786" t="str">
            <v>RHNS-SHWODBR</v>
          </cell>
          <cell r="B786" t="str">
            <v>VAR_fin</v>
          </cell>
          <cell r="C786" t="str">
            <v>RHNSWODBRC</v>
          </cell>
          <cell r="E786">
            <v>2.6569388615942879E-2</v>
          </cell>
          <cell r="F786">
            <v>1.7675898036706575E-3</v>
          </cell>
          <cell r="G786">
            <v>8.3300878179372508E-3</v>
          </cell>
          <cell r="H786">
            <v>1.0623270722421916E-2</v>
          </cell>
          <cell r="I786">
            <v>1.1221403288644885E-2</v>
          </cell>
        </row>
        <row r="787">
          <cell r="A787" t="str">
            <v>RHNS-SHWODBR</v>
          </cell>
          <cell r="B787" t="str">
            <v>VAR_fin</v>
          </cell>
          <cell r="C787" t="str">
            <v>RWOD</v>
          </cell>
          <cell r="E787">
            <v>3.6901928633254005E-2</v>
          </cell>
          <cell r="F787">
            <v>2.3458475003196814E-3</v>
          </cell>
          <cell r="G787">
            <v>1.0880961455073062E-2</v>
          </cell>
          <cell r="H787">
            <v>1.3788177692743774E-2</v>
          </cell>
          <cell r="I787">
            <v>1.4564507160606461E-2</v>
          </cell>
        </row>
        <row r="788">
          <cell r="A788" t="str">
            <v>RHNS-SHWODBR</v>
          </cell>
          <cell r="B788" t="str">
            <v>VAR_ncap</v>
          </cell>
          <cell r="C788" t="str">
            <v>-</v>
          </cell>
          <cell r="E788">
            <v>1.9820586167260501E-3</v>
          </cell>
          <cell r="F788">
            <v>7.2834381649710203E-7</v>
          </cell>
        </row>
        <row r="789">
          <cell r="A789" t="str">
            <v>RHNS-SHWODBR</v>
          </cell>
          <cell r="B789" t="str">
            <v>VAR_cap</v>
          </cell>
          <cell r="C789" t="str">
            <v>-</v>
          </cell>
          <cell r="E789">
            <v>1.9820586167260501E-3</v>
          </cell>
          <cell r="F789">
            <v>1.9404299973501328E-3</v>
          </cell>
          <cell r="G789">
            <v>1.8060321224551879E-3</v>
          </cell>
          <cell r="H789">
            <v>1.9890391280118977E-3</v>
          </cell>
          <cell r="I789">
            <v>8.4128243626670099E-4</v>
          </cell>
        </row>
        <row r="790">
          <cell r="A790" t="str">
            <v>D-RHNM_NKEV_GAS_ELC_CHP</v>
          </cell>
          <cell r="B790" t="str">
            <v>VAR_fout</v>
          </cell>
          <cell r="C790" t="str">
            <v>ELC5</v>
          </cell>
          <cell r="E790">
            <v>6.5490138858978508E-4</v>
          </cell>
          <cell r="F790">
            <v>1.3696265415560655E-3</v>
          </cell>
          <cell r="G790">
            <v>5.3791374469247099E-4</v>
          </cell>
          <cell r="H790">
            <v>0.39025699424591032</v>
          </cell>
          <cell r="I790">
            <v>0.27615328107659831</v>
          </cell>
        </row>
        <row r="791">
          <cell r="A791" t="str">
            <v>D-RHNM_NKEV_GAS_ELC_CHP</v>
          </cell>
          <cell r="B791" t="str">
            <v>VAR_fout</v>
          </cell>
          <cell r="C791" t="str">
            <v>RHNM_ELC</v>
          </cell>
          <cell r="E791">
            <v>6.549632201400898E-4</v>
          </cell>
          <cell r="F791">
            <v>1.3663635038409228E-3</v>
          </cell>
          <cell r="G791">
            <v>5.375717706920328E-4</v>
          </cell>
          <cell r="H791">
            <v>0.37966691187326157</v>
          </cell>
          <cell r="I791">
            <v>0.27203716486853713</v>
          </cell>
        </row>
        <row r="792">
          <cell r="A792" t="str">
            <v>D-RHNM_NKEV_GAS_ELC_CHP</v>
          </cell>
          <cell r="B792" t="str">
            <v>VAR_fin</v>
          </cell>
          <cell r="C792" t="str">
            <v>RHNM_NKEV_GAS_ELC_CHP</v>
          </cell>
          <cell r="E792">
            <v>1.309864608729876E-3</v>
          </cell>
          <cell r="F792">
            <v>2.7293316483056325E-3</v>
          </cell>
          <cell r="G792">
            <v>1.0754855153845035E-3</v>
          </cell>
          <cell r="H792">
            <v>0.76992390611917161</v>
          </cell>
          <cell r="I792">
            <v>0.54819044594513555</v>
          </cell>
        </row>
        <row r="793">
          <cell r="A793" t="str">
            <v>D-RLFO</v>
          </cell>
          <cell r="B793" t="str">
            <v>VAR_fout</v>
          </cell>
          <cell r="C793" t="str">
            <v>CO2</v>
          </cell>
          <cell r="D793">
            <v>4514.4833536305996</v>
          </cell>
          <cell r="E793">
            <v>3846.52684304173</v>
          </cell>
          <cell r="F793">
            <v>3553.0930143365799</v>
          </cell>
          <cell r="G793">
            <v>1565.8512776851801</v>
          </cell>
          <cell r="H793">
            <v>222.72950551917199</v>
          </cell>
          <cell r="I793">
            <v>2.2768762088806101E-4</v>
          </cell>
        </row>
        <row r="794">
          <cell r="A794" t="str">
            <v>D-RLFO</v>
          </cell>
          <cell r="B794" t="str">
            <v>VAR_fout</v>
          </cell>
          <cell r="C794" t="str">
            <v>RLFO</v>
          </cell>
          <cell r="D794">
            <v>60.231834741747292</v>
          </cell>
          <cell r="E794">
            <v>51.320018480843956</v>
          </cell>
          <cell r="F794">
            <v>47.405635052121312</v>
          </cell>
          <cell r="G794">
            <v>20.892001288986766</v>
          </cell>
          <cell r="H794">
            <v>2.9725266576269971</v>
          </cell>
          <cell r="I794">
            <v>0.17176830243241648</v>
          </cell>
        </row>
        <row r="795">
          <cell r="A795" t="str">
            <v>D-RLFO</v>
          </cell>
          <cell r="B795" t="str">
            <v>VAR_fin</v>
          </cell>
          <cell r="C795" t="str">
            <v>LFO</v>
          </cell>
          <cell r="D795">
            <v>61.254862328773363</v>
          </cell>
          <cell r="E795">
            <v>52.191680366916337</v>
          </cell>
          <cell r="F795">
            <v>48.210217290862751</v>
          </cell>
          <cell r="G795">
            <v>21.246285993014613</v>
          </cell>
          <cell r="H795">
            <v>3.0221099799073516</v>
          </cell>
          <cell r="I795">
            <v>3.0893842725652693E-6</v>
          </cell>
        </row>
        <row r="796">
          <cell r="A796" t="str">
            <v>D-RLFO</v>
          </cell>
          <cell r="B796" t="str">
            <v>VAR_fin</v>
          </cell>
          <cell r="C796" t="str">
            <v>BDS</v>
          </cell>
          <cell r="F796">
            <v>5.9495177118056009E-4</v>
          </cell>
          <cell r="G796">
            <v>5.6284629762675157E-4</v>
          </cell>
          <cell r="H796">
            <v>9.0513081346629809E-4</v>
          </cell>
          <cell r="I796">
            <v>0.17468281486456086</v>
          </cell>
        </row>
        <row r="797">
          <cell r="A797" t="str">
            <v>D-SCOM_LTH_CHPBIO</v>
          </cell>
          <cell r="B797" t="str">
            <v>VAR_fout</v>
          </cell>
          <cell r="C797" t="str">
            <v>SCOM_LTH_CHPBIO_ON</v>
          </cell>
          <cell r="D797">
            <v>1.4243102615640453</v>
          </cell>
          <cell r="E797">
            <v>1.5427992593550282</v>
          </cell>
        </row>
        <row r="798">
          <cell r="A798" t="str">
            <v>D-SCOM_LTH_CHPBIO</v>
          </cell>
          <cell r="B798" t="str">
            <v>VAR_fout</v>
          </cell>
          <cell r="C798" t="str">
            <v>LTH</v>
          </cell>
          <cell r="E798">
            <v>3.5533167679290364E-2</v>
          </cell>
        </row>
        <row r="799">
          <cell r="A799" t="str">
            <v>D-SCOM_LTH_CHPBIO</v>
          </cell>
          <cell r="B799" t="str">
            <v>VAR_fin</v>
          </cell>
          <cell r="C799" t="str">
            <v>SCOM_LTH_CHPBIO</v>
          </cell>
          <cell r="D799">
            <v>1.4243102615640453</v>
          </cell>
          <cell r="E799">
            <v>1.5783324270343169</v>
          </cell>
        </row>
        <row r="800">
          <cell r="A800" t="str">
            <v>D-SCOM_NKEV_GAS_ELC_CHP</v>
          </cell>
          <cell r="B800" t="str">
            <v>VAR_fout</v>
          </cell>
          <cell r="C800" t="str">
            <v>ELC5</v>
          </cell>
          <cell r="D800">
            <v>0.264737365109811</v>
          </cell>
          <cell r="E800">
            <v>0.31263204995383981</v>
          </cell>
          <cell r="F800">
            <v>1.1367361523791279E-3</v>
          </cell>
          <cell r="G800">
            <v>3.8188333722641613E-4</v>
          </cell>
          <cell r="H800">
            <v>7.1591434184712201E-3</v>
          </cell>
          <cell r="I800">
            <v>3.1142658500647475E-2</v>
          </cell>
        </row>
        <row r="801">
          <cell r="A801" t="str">
            <v>D-SCOM_NKEV_GAS_ELC_CHP</v>
          </cell>
          <cell r="B801" t="str">
            <v>VAR_fout</v>
          </cell>
          <cell r="C801" t="str">
            <v>SCOM_ELC</v>
          </cell>
          <cell r="D801">
            <v>0.32966576498594519</v>
          </cell>
          <cell r="E801">
            <v>0.31329921983945458</v>
          </cell>
          <cell r="F801">
            <v>1.1374925593159088E-3</v>
          </cell>
          <cell r="G801">
            <v>3.8215230287035518E-4</v>
          </cell>
          <cell r="H801">
            <v>7.1430066807952235E-3</v>
          </cell>
          <cell r="I801">
            <v>3.1117135564233265E-2</v>
          </cell>
        </row>
        <row r="802">
          <cell r="A802" t="str">
            <v>D-SCOM_NKEV_GAS_ELC_CHP</v>
          </cell>
          <cell r="B802" t="str">
            <v>VAR_fin</v>
          </cell>
          <cell r="C802" t="str">
            <v>SCOM_NKEV_GAS_ELC_CHP</v>
          </cell>
          <cell r="D802">
            <v>0.59440313009575585</v>
          </cell>
          <cell r="E802">
            <v>0.62593126979329428</v>
          </cell>
          <cell r="F802">
            <v>2.2671888826165977E-3</v>
          </cell>
          <cell r="G802">
            <v>7.6403564009677131E-4</v>
          </cell>
          <cell r="H802">
            <v>1.430215009926644E-2</v>
          </cell>
          <cell r="I802">
            <v>6.2259794064880782E-2</v>
          </cell>
        </row>
        <row r="803">
          <cell r="A803" t="str">
            <v>RHEM-SHLTHDH</v>
          </cell>
          <cell r="B803" t="str">
            <v>VAR_fout</v>
          </cell>
          <cell r="C803" t="str">
            <v>RHEM-SHLTHD</v>
          </cell>
          <cell r="D803">
            <v>3.3529032408369721</v>
          </cell>
          <cell r="E803">
            <v>3.7887323706963572</v>
          </cell>
          <cell r="F803">
            <v>4.9923047482005742</v>
          </cell>
          <cell r="G803">
            <v>5.5849525449962352</v>
          </cell>
          <cell r="H803">
            <v>4.9860594931355511</v>
          </cell>
          <cell r="I803">
            <v>4.0457040787340777</v>
          </cell>
        </row>
        <row r="804">
          <cell r="A804" t="str">
            <v>RHEM-SHLTHDH</v>
          </cell>
          <cell r="B804" t="str">
            <v>VAR_fin</v>
          </cell>
          <cell r="C804" t="str">
            <v>RHEMLTHDHC</v>
          </cell>
          <cell r="D804">
            <v>3.3529032408369721</v>
          </cell>
          <cell r="E804">
            <v>3.7887323706963572</v>
          </cell>
          <cell r="F804">
            <v>4.9923047482005742</v>
          </cell>
          <cell r="G804">
            <v>5.5849525449962352</v>
          </cell>
          <cell r="H804">
            <v>4.9860594931355511</v>
          </cell>
          <cell r="I804">
            <v>4.0457040787340777</v>
          </cell>
        </row>
        <row r="805">
          <cell r="A805" t="str">
            <v>RHEM-SHLTHDH</v>
          </cell>
          <cell r="B805" t="str">
            <v>VAR_fin</v>
          </cell>
          <cell r="C805" t="str">
            <v>RHEM_LTH_DH</v>
          </cell>
          <cell r="D805">
            <v>3.3867709503403738</v>
          </cell>
          <cell r="E805">
            <v>3.8270023946427858</v>
          </cell>
          <cell r="F805">
            <v>5.6158208826953615</v>
          </cell>
          <cell r="G805">
            <v>6.2824876911525349</v>
          </cell>
          <cell r="H805">
            <v>5.6087956237055989</v>
          </cell>
          <cell r="I805">
            <v>4.5509940992183617</v>
          </cell>
        </row>
        <row r="806">
          <cell r="A806" t="str">
            <v>RHEM-SHLTHDH</v>
          </cell>
          <cell r="B806" t="str">
            <v>VAR_ncap</v>
          </cell>
          <cell r="C806" t="str">
            <v>-</v>
          </cell>
          <cell r="D806">
            <v>8.8143343742285105E-8</v>
          </cell>
          <cell r="E806">
            <v>4.2516895950381002E-2</v>
          </cell>
          <cell r="F806">
            <v>0.173561228531837</v>
          </cell>
          <cell r="G806">
            <v>3.64057719387159E-2</v>
          </cell>
          <cell r="H806">
            <v>4.7471826858520298E-2</v>
          </cell>
          <cell r="I806">
            <v>3.7976056634790402E-2</v>
          </cell>
        </row>
        <row r="807">
          <cell r="A807" t="str">
            <v>RHEM-SHLTHDH</v>
          </cell>
          <cell r="B807" t="str">
            <v>VAR_cap</v>
          </cell>
          <cell r="C807" t="str">
            <v>-</v>
          </cell>
          <cell r="D807">
            <v>0.31562555525503172</v>
          </cell>
          <cell r="E807">
            <v>0.27842728116010745</v>
          </cell>
          <cell r="F807">
            <v>0.43963695825636845</v>
          </cell>
          <cell r="G807">
            <v>0.40427172171303194</v>
          </cell>
          <cell r="H807">
            <v>0.36680470478206101</v>
          </cell>
          <cell r="I807">
            <v>0.34306200592758795</v>
          </cell>
        </row>
        <row r="808">
          <cell r="A808" t="str">
            <v>D-ITOT_SOLELC</v>
          </cell>
          <cell r="B808" t="str">
            <v>VAR_fout</v>
          </cell>
          <cell r="C808" t="str">
            <v>ITOT_ELC</v>
          </cell>
          <cell r="D808">
            <v>3.5150782933211429</v>
          </cell>
          <cell r="E808">
            <v>4.8476671917641703</v>
          </cell>
          <cell r="F808">
            <v>9.5931080035310625</v>
          </cell>
          <cell r="G808">
            <v>17.473863696639533</v>
          </cell>
          <cell r="H808">
            <v>27.90363126704748</v>
          </cell>
          <cell r="I808">
            <v>33.989320930177094</v>
          </cell>
        </row>
        <row r="809">
          <cell r="A809" t="str">
            <v>D-ITOT_SOLELC</v>
          </cell>
          <cell r="B809" t="str">
            <v>VAR_fout</v>
          </cell>
          <cell r="C809" t="str">
            <v>ELC5</v>
          </cell>
          <cell r="D809">
            <v>2.8757063863883662E-3</v>
          </cell>
          <cell r="E809">
            <v>2.1699060593560466E-3</v>
          </cell>
          <cell r="F809">
            <v>1.3940888614338224E-3</v>
          </cell>
          <cell r="G809">
            <v>0.26302812593836944</v>
          </cell>
          <cell r="H809">
            <v>5.2477433781983986</v>
          </cell>
          <cell r="I809">
            <v>17.010985362185671</v>
          </cell>
        </row>
        <row r="810">
          <cell r="A810" t="str">
            <v>D-ITOT_SOLELC</v>
          </cell>
          <cell r="B810" t="str">
            <v>VAR_fin</v>
          </cell>
          <cell r="C810" t="str">
            <v>ITOT_SOL_ELC</v>
          </cell>
          <cell r="D810">
            <v>3.517953999707534</v>
          </cell>
          <cell r="E810">
            <v>4.8498359267292228</v>
          </cell>
          <cell r="F810">
            <v>9.5944986244111021</v>
          </cell>
          <cell r="G810">
            <v>17.736887719519139</v>
          </cell>
          <cell r="H810">
            <v>33.151371944662564</v>
          </cell>
          <cell r="I810">
            <v>51.000303784876223</v>
          </cell>
        </row>
        <row r="811">
          <cell r="A811" t="str">
            <v>D-SWOD</v>
          </cell>
          <cell r="B811" t="str">
            <v>VAR_fout</v>
          </cell>
          <cell r="C811" t="str">
            <v>SWOD</v>
          </cell>
          <cell r="D811">
            <v>8.5743709335386651</v>
          </cell>
          <cell r="E811">
            <v>8.2961696869963344</v>
          </cell>
          <cell r="F811">
            <v>9.6268647419586877</v>
          </cell>
          <cell r="G811">
            <v>8.2577023928465803</v>
          </cell>
          <cell r="H811">
            <v>4.3379800640330117</v>
          </cell>
          <cell r="I811">
            <v>1.7904058940792751</v>
          </cell>
        </row>
        <row r="812">
          <cell r="A812" t="str">
            <v>D-SWOD</v>
          </cell>
          <cell r="B812" t="str">
            <v>VAR_fin</v>
          </cell>
          <cell r="C812" t="str">
            <v>WOD</v>
          </cell>
          <cell r="D812">
            <v>8.5743709335386651</v>
          </cell>
          <cell r="E812">
            <v>8.2961696869963344</v>
          </cell>
          <cell r="F812">
            <v>9.6268647419586877</v>
          </cell>
          <cell r="G812">
            <v>8.2577023928465803</v>
          </cell>
          <cell r="H812">
            <v>4.3379800640330117</v>
          </cell>
          <cell r="I812">
            <v>1.7904058940792751</v>
          </cell>
        </row>
        <row r="813">
          <cell r="A813" t="str">
            <v>ITOT-PROCESSCO2CCS</v>
          </cell>
          <cell r="B813" t="str">
            <v>VAR_fout</v>
          </cell>
          <cell r="C813" t="str">
            <v>CO2_O</v>
          </cell>
          <cell r="H813">
            <v>4.2679830658152229E-2</v>
          </cell>
          <cell r="I813">
            <v>1030.0833863208234</v>
          </cell>
        </row>
        <row r="814">
          <cell r="A814" t="str">
            <v>ITOT-PROCESSCO2CCS</v>
          </cell>
          <cell r="B814" t="str">
            <v>VAR_fout</v>
          </cell>
          <cell r="C814" t="str">
            <v>CO2</v>
          </cell>
          <cell r="H814">
            <v>-4.2679830658152201E-2</v>
          </cell>
          <cell r="I814">
            <v>-1030.08338632082</v>
          </cell>
        </row>
        <row r="815">
          <cell r="A815" t="str">
            <v>ITOT-PROCESSCO2CCS</v>
          </cell>
          <cell r="B815" t="str">
            <v>VAR_fin</v>
          </cell>
          <cell r="C815" t="str">
            <v>ITOT_ELC</v>
          </cell>
          <cell r="H815">
            <v>9.0380817864322381E-5</v>
          </cell>
          <cell r="I815">
            <v>2.1813530533852714</v>
          </cell>
        </row>
        <row r="816">
          <cell r="A816" t="str">
            <v>ITOT-PROCESSCO2CCS</v>
          </cell>
          <cell r="B816" t="str">
            <v>VAR_fin</v>
          </cell>
          <cell r="C816" t="str">
            <v>ITOT_LTH_DH</v>
          </cell>
          <cell r="H816">
            <v>3.5148095836125375E-5</v>
          </cell>
          <cell r="I816">
            <v>0.84830396520538287</v>
          </cell>
        </row>
        <row r="817">
          <cell r="A817" t="str">
            <v>ITOT-PROCESSCO2CCS</v>
          </cell>
          <cell r="B817" t="str">
            <v>VAR_ncap</v>
          </cell>
          <cell r="C817" t="str">
            <v>-</v>
          </cell>
          <cell r="H817">
            <v>0.125748069424378</v>
          </cell>
          <cell r="I817">
            <v>3130.7383534030701</v>
          </cell>
        </row>
        <row r="818">
          <cell r="A818" t="str">
            <v>ITOT-PROCESSCO2CCS</v>
          </cell>
          <cell r="B818" t="str">
            <v>VAR_cap</v>
          </cell>
          <cell r="C818" t="str">
            <v>-</v>
          </cell>
          <cell r="H818">
            <v>0.125748069424378</v>
          </cell>
          <cell r="I818">
            <v>3130.8641014724899</v>
          </cell>
        </row>
        <row r="819">
          <cell r="A819" t="str">
            <v>D-RSH2R</v>
          </cell>
          <cell r="B819" t="str">
            <v>VAR_fout</v>
          </cell>
          <cell r="C819" t="str">
            <v>RSH2</v>
          </cell>
          <cell r="G819">
            <v>1.310631780574152E-3</v>
          </cell>
          <cell r="H819">
            <v>8.0313455787532216E-4</v>
          </cell>
          <cell r="I819">
            <v>9.5521560593326269E-4</v>
          </cell>
        </row>
        <row r="820">
          <cell r="A820" t="str">
            <v>D-RSH2R</v>
          </cell>
          <cell r="B820" t="str">
            <v>VAR_fin</v>
          </cell>
          <cell r="C820" t="str">
            <v>H2</v>
          </cell>
          <cell r="G820">
            <v>1.310631780574152E-3</v>
          </cell>
          <cell r="H820">
            <v>8.0313455787532216E-4</v>
          </cell>
          <cell r="I820">
            <v>9.5521560593326269E-4</v>
          </cell>
        </row>
        <row r="821">
          <cell r="A821" t="str">
            <v>D-RSH2R</v>
          </cell>
          <cell r="B821" t="str">
            <v>VAR_ncap</v>
          </cell>
          <cell r="C821" t="str">
            <v>-</v>
          </cell>
          <cell r="G821">
            <v>9.7162774668565802E-5</v>
          </cell>
          <cell r="H821">
            <v>9.4341320363143901E-5</v>
          </cell>
          <cell r="I821">
            <v>5.5823920593855701E-5</v>
          </cell>
        </row>
        <row r="822">
          <cell r="A822" t="str">
            <v>D-RSH2R</v>
          </cell>
          <cell r="B822" t="str">
            <v>VAR_cap</v>
          </cell>
          <cell r="C822" t="str">
            <v>-</v>
          </cell>
          <cell r="G822">
            <v>9.7162774668565802E-5</v>
          </cell>
          <cell r="H822">
            <v>1.12194921672637E-4</v>
          </cell>
          <cell r="I822">
            <v>8.81378272641472E-5</v>
          </cell>
        </row>
        <row r="823">
          <cell r="A823" t="str">
            <v>SCOM-SHLTHCHPBIO</v>
          </cell>
          <cell r="B823" t="str">
            <v>VAR_fout</v>
          </cell>
          <cell r="C823" t="str">
            <v>SCOM-SHLTHC-BIO</v>
          </cell>
          <cell r="D823">
            <v>1.4100671589484046</v>
          </cell>
          <cell r="E823">
            <v>1.5273712667614767</v>
          </cell>
        </row>
        <row r="824">
          <cell r="A824" t="str">
            <v>SCOM-SHLTHCHPBIO</v>
          </cell>
          <cell r="B824" t="str">
            <v>VAR_fin</v>
          </cell>
          <cell r="C824" t="str">
            <v>SCOM_LTH_CHPBIO_ON</v>
          </cell>
          <cell r="D824">
            <v>1.4243102615640453</v>
          </cell>
          <cell r="E824">
            <v>1.5427992593550282</v>
          </cell>
        </row>
        <row r="825">
          <cell r="A825" t="str">
            <v>SCOM-SHLTHCHPBIO</v>
          </cell>
          <cell r="B825" t="str">
            <v>VAR_fin</v>
          </cell>
          <cell r="C825" t="str">
            <v>SCOMLTHCHPC</v>
          </cell>
          <cell r="D825">
            <v>1.4100671589484046</v>
          </cell>
          <cell r="E825">
            <v>1.5273712667614767</v>
          </cell>
        </row>
        <row r="826">
          <cell r="A826" t="str">
            <v>SCOM-SHLTHCHPBIO</v>
          </cell>
          <cell r="B826" t="str">
            <v>VAR_ncap</v>
          </cell>
          <cell r="C826" t="str">
            <v>-</v>
          </cell>
          <cell r="D826">
            <v>1.0356430431865301E-7</v>
          </cell>
          <cell r="E826">
            <v>3.91500284659222E-2</v>
          </cell>
          <cell r="F826">
            <v>3.6891631663257499E-2</v>
          </cell>
          <cell r="G826">
            <v>2.9642084161731901E-2</v>
          </cell>
          <cell r="H826">
            <v>3.6747962060435201E-2</v>
          </cell>
          <cell r="I826">
            <v>5.0901944078938603E-2</v>
          </cell>
        </row>
        <row r="827">
          <cell r="A827" t="str">
            <v>SCOM-SHLTHCHPBIO</v>
          </cell>
          <cell r="B827" t="str">
            <v>VAR_cap</v>
          </cell>
          <cell r="C827" t="str">
            <v>-</v>
          </cell>
          <cell r="D827">
            <v>0.10913979114334331</v>
          </cell>
          <cell r="E827">
            <v>0.12094397642917809</v>
          </cell>
          <cell r="F827">
            <v>0.1000161447734854</v>
          </cell>
          <cell r="G827">
            <v>8.6917975308394013E-2</v>
          </cell>
          <cell r="H827">
            <v>7.7092002778044996E-2</v>
          </cell>
          <cell r="I827">
            <v>7.7092805238584194E-2</v>
          </cell>
        </row>
        <row r="828">
          <cell r="A828" t="str">
            <v>D-RSH2</v>
          </cell>
          <cell r="B828" t="str">
            <v>VAR_fout</v>
          </cell>
          <cell r="C828" t="str">
            <v>RSH2</v>
          </cell>
          <cell r="G828">
            <v>1.4457190795246864E-3</v>
          </cell>
          <cell r="H828">
            <v>8.527423267479839E-4</v>
          </cell>
          <cell r="I828">
            <v>9.4063439983143823E-4</v>
          </cell>
        </row>
        <row r="829">
          <cell r="A829" t="str">
            <v>D-RSH2</v>
          </cell>
          <cell r="B829" t="str">
            <v>VAR_fin</v>
          </cell>
          <cell r="C829" t="str">
            <v>H2</v>
          </cell>
          <cell r="G829">
            <v>1.456733128438041E-3</v>
          </cell>
          <cell r="H829">
            <v>8.5923884867282322E-4</v>
          </cell>
          <cell r="I829">
            <v>9.4780051767276484E-4</v>
          </cell>
        </row>
        <row r="830">
          <cell r="A830" t="str">
            <v>D-RSH2</v>
          </cell>
          <cell r="B830" t="str">
            <v>VAR_ncap</v>
          </cell>
          <cell r="C830" t="str">
            <v>-</v>
          </cell>
          <cell r="G830">
            <v>1.3011811645633601E-4</v>
          </cell>
          <cell r="H830">
            <v>1.1808752082826799E-6</v>
          </cell>
          <cell r="I830">
            <v>7.7244652158872495E-7</v>
          </cell>
        </row>
        <row r="831">
          <cell r="A831" t="str">
            <v>D-RSH2</v>
          </cell>
          <cell r="B831" t="str">
            <v>VAR_cap</v>
          </cell>
          <cell r="C831" t="str">
            <v>-</v>
          </cell>
          <cell r="G831">
            <v>1.3011811645633601E-4</v>
          </cell>
          <cell r="H831">
            <v>1.4548328337910901E-4</v>
          </cell>
          <cell r="I831">
            <v>1.4625572990069701E-4</v>
          </cell>
        </row>
        <row r="832">
          <cell r="A832" t="str">
            <v>RHES-SHNGABR</v>
          </cell>
          <cell r="B832" t="str">
            <v>VAR_fout</v>
          </cell>
          <cell r="C832" t="str">
            <v>CO2_R</v>
          </cell>
          <cell r="D832">
            <v>1043.1353884638399</v>
          </cell>
          <cell r="E832">
            <v>1112.75518066276</v>
          </cell>
          <cell r="F832">
            <v>629.43603950174895</v>
          </cell>
          <cell r="G832">
            <v>407.47784456589602</v>
          </cell>
          <cell r="H832">
            <v>97.843701391807201</v>
          </cell>
          <cell r="I832">
            <v>43.346527225044298</v>
          </cell>
        </row>
        <row r="833">
          <cell r="A833" t="str">
            <v>RHES-SHNGABR</v>
          </cell>
          <cell r="B833" t="str">
            <v>VAR_fout</v>
          </cell>
          <cell r="C833" t="str">
            <v>RHES-SHNGA</v>
          </cell>
          <cell r="D833">
            <v>17.57054289079171</v>
          </cell>
          <cell r="E833">
            <v>18.743216695560676</v>
          </cell>
          <cell r="F833">
            <v>10.187293507849775</v>
          </cell>
          <cell r="G833">
            <v>6.6036421266720424</v>
          </cell>
          <cell r="H833">
            <v>1.5856685141465863</v>
          </cell>
          <cell r="I833">
            <v>0.72124372814229165</v>
          </cell>
        </row>
        <row r="834">
          <cell r="A834" t="str">
            <v>RHES-SHNGABR</v>
          </cell>
          <cell r="B834" t="str">
            <v>VAR_fin</v>
          </cell>
          <cell r="C834" t="str">
            <v>RNGA</v>
          </cell>
          <cell r="D834">
            <v>18.495308306096536</v>
          </cell>
          <cell r="E834">
            <v>19.729701784800707</v>
          </cell>
          <cell r="F834">
            <v>11.160213466343057</v>
          </cell>
          <cell r="G834">
            <v>7.2247844781187256</v>
          </cell>
          <cell r="H834">
            <v>1.7348174005639572</v>
          </cell>
          <cell r="I834">
            <v>0.76855544725255764</v>
          </cell>
        </row>
        <row r="835">
          <cell r="A835" t="str">
            <v>RHES-SHNGABR</v>
          </cell>
          <cell r="B835" t="str">
            <v>VAR_ncap</v>
          </cell>
          <cell r="C835" t="str">
            <v>-</v>
          </cell>
          <cell r="E835">
            <v>9.23165820840951E-2</v>
          </cell>
          <cell r="F835">
            <v>1.4246060918611001E-7</v>
          </cell>
          <cell r="G835">
            <v>3.3184920490397301E-7</v>
          </cell>
          <cell r="H835">
            <v>0.12729062012109599</v>
          </cell>
          <cell r="I835">
            <v>2.4169524202093998E-7</v>
          </cell>
        </row>
        <row r="836">
          <cell r="A836" t="str">
            <v>RHES-SHNGABR</v>
          </cell>
          <cell r="B836" t="str">
            <v>VAR_cap</v>
          </cell>
          <cell r="C836" t="str">
            <v>-</v>
          </cell>
          <cell r="D836">
            <v>1.4219190615860799</v>
          </cell>
          <cell r="E836">
            <v>1.5142355783360995</v>
          </cell>
          <cell r="F836">
            <v>1.1547211065764162</v>
          </cell>
          <cell r="G836">
            <v>1.1546567992224812</v>
          </cell>
          <cell r="H836">
            <v>0.12812425295327506</v>
          </cell>
          <cell r="I836">
            <v>8.6678256419063432E-2</v>
          </cell>
        </row>
        <row r="837">
          <cell r="A837" t="str">
            <v>SCOM-SHLTHCHPHFC</v>
          </cell>
          <cell r="B837" t="str">
            <v>VAR_ncap</v>
          </cell>
          <cell r="C837" t="str">
            <v>-</v>
          </cell>
          <cell r="G837">
            <v>4.9859390571339402E-5</v>
          </cell>
          <cell r="H837">
            <v>3.61506714497266E-5</v>
          </cell>
          <cell r="I837">
            <v>4.1875641586194797E-5</v>
          </cell>
        </row>
        <row r="838">
          <cell r="A838" t="str">
            <v>SCOM-SHLTHCHPHFC</v>
          </cell>
          <cell r="B838" t="str">
            <v>VAR_cap</v>
          </cell>
          <cell r="C838" t="str">
            <v>-</v>
          </cell>
          <cell r="G838">
            <v>4.9859390571339402E-5</v>
          </cell>
          <cell r="H838">
            <v>5.7859830641235308E-5</v>
          </cell>
          <cell r="I838">
            <v>5.5855963331941194E-5</v>
          </cell>
        </row>
        <row r="839">
          <cell r="A839" t="str">
            <v>RHSA-WHNGABR</v>
          </cell>
          <cell r="B839" t="str">
            <v>VAR_fout</v>
          </cell>
          <cell r="C839" t="str">
            <v>RHSA-WHNGA</v>
          </cell>
          <cell r="D839">
            <v>6.3804541102457728</v>
          </cell>
          <cell r="E839">
            <v>5.5412064837923856</v>
          </cell>
          <cell r="F839">
            <v>4.95437958637521</v>
          </cell>
          <cell r="G839">
            <v>2.8868404647516654</v>
          </cell>
          <cell r="H839">
            <v>0.76421528350957035</v>
          </cell>
          <cell r="I839">
            <v>0.34027678433805703</v>
          </cell>
        </row>
        <row r="840">
          <cell r="A840" t="str">
            <v>RHSA-WHNGABR</v>
          </cell>
          <cell r="B840" t="str">
            <v>VAR_fout</v>
          </cell>
          <cell r="C840" t="str">
            <v>CO2_R</v>
          </cell>
          <cell r="D840">
            <v>479.81014909048201</v>
          </cell>
          <cell r="E840">
            <v>414.488124251844</v>
          </cell>
          <cell r="F840">
            <v>529.92720625453899</v>
          </cell>
          <cell r="G840">
            <v>295.58853730317003</v>
          </cell>
          <cell r="H840">
            <v>78.1307439951281</v>
          </cell>
          <cell r="I840">
            <v>34.788728907002103</v>
          </cell>
        </row>
        <row r="841">
          <cell r="A841" t="str">
            <v>RHSA-WHNGABR</v>
          </cell>
          <cell r="B841" t="str">
            <v>VAR_fin</v>
          </cell>
          <cell r="C841" t="str">
            <v>RNGA</v>
          </cell>
          <cell r="D841">
            <v>8.5072721469943637</v>
          </cell>
          <cell r="E841">
            <v>7.3490802172312808</v>
          </cell>
          <cell r="F841">
            <v>9.3958724513216172</v>
          </cell>
          <cell r="G841">
            <v>5.2409315124675491</v>
          </cell>
          <cell r="H841">
            <v>1.3852968793462428</v>
          </cell>
          <cell r="I841">
            <v>0.61682143452131299</v>
          </cell>
        </row>
        <row r="842">
          <cell r="A842" t="str">
            <v>RHSA-WHNGABR</v>
          </cell>
          <cell r="B842" t="str">
            <v>VAR_ncap</v>
          </cell>
          <cell r="C842" t="str">
            <v>-</v>
          </cell>
          <cell r="E842">
            <v>6.8573262578684197E-7</v>
          </cell>
          <cell r="F842">
            <v>2.78267515393218E-7</v>
          </cell>
          <cell r="G842">
            <v>5.1186691502717999E-7</v>
          </cell>
          <cell r="H842">
            <v>1.89476263414824E-2</v>
          </cell>
          <cell r="I842">
            <v>2.1857352619293099E-6</v>
          </cell>
        </row>
        <row r="843">
          <cell r="A843" t="str">
            <v>RHSA-WHNGABR</v>
          </cell>
          <cell r="B843" t="str">
            <v>VAR_cap</v>
          </cell>
          <cell r="C843" t="str">
            <v>-</v>
          </cell>
          <cell r="D843">
            <v>0.43610075802020798</v>
          </cell>
          <cell r="E843">
            <v>0.43609715104388169</v>
          </cell>
          <cell r="F843">
            <v>0.41182488942967604</v>
          </cell>
          <cell r="G843">
            <v>0.34414513301092808</v>
          </cell>
          <cell r="H843">
            <v>5.3924152160280361E-2</v>
          </cell>
          <cell r="I843">
            <v>2.8547010666376209E-2</v>
          </cell>
        </row>
        <row r="844">
          <cell r="A844" t="str">
            <v>ITOT-SWHWSTBR</v>
          </cell>
          <cell r="B844" t="str">
            <v>VAR_fout</v>
          </cell>
          <cell r="C844" t="str">
            <v>ITOT-SWH</v>
          </cell>
          <cell r="D844">
            <v>4.1173665324932189</v>
          </cell>
          <cell r="E844">
            <v>4.2663193835649187</v>
          </cell>
          <cell r="F844">
            <v>2.9611725407789153</v>
          </cell>
          <cell r="G844">
            <v>3.022765382349788</v>
          </cell>
          <cell r="H844">
            <v>2.8804397463908096</v>
          </cell>
          <cell r="I844">
            <v>1.1324845515310275E-3</v>
          </cell>
        </row>
        <row r="845">
          <cell r="A845" t="str">
            <v>ITOT-SWHWSTBR</v>
          </cell>
          <cell r="B845" t="str">
            <v>VAR_fout</v>
          </cell>
          <cell r="C845" t="str">
            <v>CO2_I</v>
          </cell>
          <cell r="D845">
            <v>723.65836025638396</v>
          </cell>
          <cell r="E845">
            <v>749.837952262925</v>
          </cell>
          <cell r="F845">
            <v>520.44850716720305</v>
          </cell>
          <cell r="G845">
            <v>531.27391568572102</v>
          </cell>
          <cell r="H845">
            <v>506.25910694141498</v>
          </cell>
          <cell r="I845">
            <v>0.19318854114352799</v>
          </cell>
        </row>
        <row r="846">
          <cell r="A846" t="str">
            <v>ITOT-SWHWSTBR</v>
          </cell>
          <cell r="B846" t="str">
            <v>VAR_fin</v>
          </cell>
          <cell r="C846" t="str">
            <v>IWST</v>
          </cell>
          <cell r="D846">
            <v>7.798042675176549</v>
          </cell>
          <cell r="E846">
            <v>8.0801503476608314</v>
          </cell>
          <cell r="F846">
            <v>5.6082813272328016</v>
          </cell>
          <cell r="G846">
            <v>5.7249344362685441</v>
          </cell>
          <cell r="H846">
            <v>5.4553783075583517</v>
          </cell>
          <cell r="I846">
            <v>2.0817730726673308E-3</v>
          </cell>
        </row>
        <row r="847">
          <cell r="A847" t="str">
            <v>ITOT-SWHWSTBR</v>
          </cell>
          <cell r="B847" t="str">
            <v>VAR_ncap</v>
          </cell>
          <cell r="C847" t="str">
            <v>-</v>
          </cell>
          <cell r="E847">
            <v>1.0879519659071E-5</v>
          </cell>
          <cell r="F847">
            <v>1.03458103927235E-5</v>
          </cell>
          <cell r="G847">
            <v>1.8334029419635701E-5</v>
          </cell>
          <cell r="H847">
            <v>2.7904026794709099E-2</v>
          </cell>
          <cell r="I847">
            <v>7.8199473834027903E-6</v>
          </cell>
        </row>
        <row r="848">
          <cell r="A848" t="str">
            <v>ITOT-SWHWSTBR</v>
          </cell>
          <cell r="B848" t="str">
            <v>VAR_cap</v>
          </cell>
          <cell r="C848" t="str">
            <v>-</v>
          </cell>
          <cell r="D848">
            <v>0.35954682816669398</v>
          </cell>
          <cell r="E848">
            <v>0.31306200597985845</v>
          </cell>
          <cell r="F848">
            <v>0.30918003055131826</v>
          </cell>
          <cell r="G848">
            <v>0.2068031774304174</v>
          </cell>
          <cell r="H848">
            <v>0.1708670984247608</v>
          </cell>
          <cell r="I848">
            <v>1.0608256619829004E-4</v>
          </cell>
        </row>
        <row r="849">
          <cell r="A849" t="str">
            <v>SCOM-SHSTG-ELC</v>
          </cell>
          <cell r="B849" t="str">
            <v>VAR_fout</v>
          </cell>
          <cell r="C849" t="str">
            <v>SCOM-SHAELCB</v>
          </cell>
          <cell r="D849">
            <v>8.997532933173932E-6</v>
          </cell>
          <cell r="E849">
            <v>1.6955745641391567E-4</v>
          </cell>
          <cell r="F849">
            <v>1.5136800171280849E-5</v>
          </cell>
          <cell r="G849">
            <v>1.3720573654524285E-5</v>
          </cell>
          <cell r="H849">
            <v>2.3102404824416499E-5</v>
          </cell>
          <cell r="I849">
            <v>6.8144114707722279E-6</v>
          </cell>
        </row>
        <row r="850">
          <cell r="A850" t="str">
            <v>SCOM-SHSTG-ELC</v>
          </cell>
          <cell r="B850" t="str">
            <v>VAR_fin</v>
          </cell>
          <cell r="C850" t="str">
            <v>SCOM-SHAELCB</v>
          </cell>
          <cell r="D850">
            <v>1.185119922945019E-5</v>
          </cell>
          <cell r="E850">
            <v>2.2322852522985151E-4</v>
          </cell>
          <cell r="F850">
            <v>1.8087404676951787E-5</v>
          </cell>
          <cell r="G850">
            <v>1.5927364162737368E-5</v>
          </cell>
          <cell r="H850">
            <v>2.7625882366074172E-5</v>
          </cell>
          <cell r="I850">
            <v>7.6488713971424557E-6</v>
          </cell>
        </row>
        <row r="851">
          <cell r="A851" t="str">
            <v>SCOM-SHSTG-ELC</v>
          </cell>
          <cell r="B851" t="str">
            <v>VAR_ncap</v>
          </cell>
          <cell r="C851" t="str">
            <v>-</v>
          </cell>
          <cell r="D851">
            <v>7.7731999753418001E-3</v>
          </cell>
          <cell r="E851">
            <v>1.32064334578811E-3</v>
          </cell>
          <cell r="F851">
            <v>8.1117230165553503E-5</v>
          </cell>
          <cell r="G851">
            <v>5.9460656395202098E-5</v>
          </cell>
          <cell r="H851">
            <v>2.5085900004711802E-3</v>
          </cell>
          <cell r="I851">
            <v>7.3677959314072698E-4</v>
          </cell>
        </row>
        <row r="852">
          <cell r="A852" t="str">
            <v>SCOM-SHSTG-ELC</v>
          </cell>
          <cell r="B852" t="str">
            <v>VAR_cap</v>
          </cell>
          <cell r="C852" t="str">
            <v>-</v>
          </cell>
          <cell r="D852">
            <v>7.7731999753418001E-3</v>
          </cell>
          <cell r="E852">
            <v>8.9625606372276696E-3</v>
          </cell>
          <cell r="F852">
            <v>8.9821327699145369E-3</v>
          </cell>
          <cell r="G852">
            <v>8.979012221997023E-3</v>
          </cell>
          <cell r="H852">
            <v>5.0740587174561286E-3</v>
          </cell>
          <cell r="I852">
            <v>3.5873480887953315E-3</v>
          </cell>
        </row>
        <row r="853">
          <cell r="A853" t="str">
            <v>SCOM-SHNGABR</v>
          </cell>
          <cell r="B853" t="str">
            <v>VAR_fout</v>
          </cell>
          <cell r="C853" t="str">
            <v>CO2_S</v>
          </cell>
          <cell r="D853">
            <v>1440.94609312227</v>
          </cell>
          <cell r="E853">
            <v>1508.6877201622201</v>
          </cell>
          <cell r="F853">
            <v>1204.43685364053</v>
          </cell>
          <cell r="G853">
            <v>744.103155980476</v>
          </cell>
          <cell r="H853">
            <v>126.092027479739</v>
          </cell>
          <cell r="I853">
            <v>53.789457511592602</v>
          </cell>
        </row>
        <row r="854">
          <cell r="A854" t="str">
            <v>SCOM-SHNGABR</v>
          </cell>
          <cell r="B854" t="str">
            <v>VAR_fout</v>
          </cell>
          <cell r="C854" t="str">
            <v>SCOM-SHNGA</v>
          </cell>
          <cell r="D854">
            <v>24.189716743602261</v>
          </cell>
          <cell r="E854">
            <v>25.326921513210717</v>
          </cell>
          <cell r="F854">
            <v>18.182416815545189</v>
          </cell>
          <cell r="G854">
            <v>11.397224815994248</v>
          </cell>
          <cell r="H854">
            <v>1.9313171475499256</v>
          </cell>
          <cell r="I854">
            <v>0.82387843011120787</v>
          </cell>
        </row>
        <row r="855">
          <cell r="A855" t="str">
            <v>SCOM-SHNGABR</v>
          </cell>
          <cell r="B855" t="str">
            <v>VAR_fin</v>
          </cell>
          <cell r="C855" t="str">
            <v>SNGA</v>
          </cell>
          <cell r="D855">
            <v>25.548689594366433</v>
          </cell>
          <cell r="E855">
            <v>26.749782272379825</v>
          </cell>
          <cell r="F855">
            <v>21.355263362420764</v>
          </cell>
          <cell r="G855">
            <v>13.193318368448162</v>
          </cell>
          <cell r="H855">
            <v>2.2356742460946673</v>
          </cell>
          <cell r="I855">
            <v>0.9537137856665342</v>
          </cell>
        </row>
        <row r="856">
          <cell r="A856" t="str">
            <v>SCOM-SHNGABR</v>
          </cell>
          <cell r="B856" t="str">
            <v>VAR_ncap</v>
          </cell>
          <cell r="C856" t="str">
            <v>-</v>
          </cell>
          <cell r="D856">
            <v>1.9739939797851E-7</v>
          </cell>
          <cell r="E856">
            <v>1.3060657540122499E-6</v>
          </cell>
          <cell r="F856">
            <v>1.5294150431442501E-6</v>
          </cell>
          <cell r="G856">
            <v>1.7673759790853199E-6</v>
          </cell>
          <cell r="H856">
            <v>1.96382906722136E-2</v>
          </cell>
          <cell r="I856">
            <v>9.8007753760799005E-6</v>
          </cell>
        </row>
        <row r="857">
          <cell r="A857" t="str">
            <v>SCOM-SHNGABR</v>
          </cell>
          <cell r="B857" t="str">
            <v>VAR_cap</v>
          </cell>
          <cell r="C857" t="str">
            <v>-</v>
          </cell>
          <cell r="D857">
            <v>2.7746816952746181</v>
          </cell>
          <cell r="E857">
            <v>2.774480764610503</v>
          </cell>
          <cell r="F857">
            <v>1.7650383522697548</v>
          </cell>
          <cell r="G857">
            <v>1.7649325093495243</v>
          </cell>
          <cell r="H857">
            <v>0.20047099027770168</v>
          </cell>
          <cell r="I857">
            <v>9.0751623345844926E-2</v>
          </cell>
        </row>
        <row r="858">
          <cell r="A858" t="str">
            <v>RHEM-SHELCHP</v>
          </cell>
          <cell r="B858" t="str">
            <v>VAR_fout</v>
          </cell>
          <cell r="C858" t="str">
            <v>RHEM-SHAELCH</v>
          </cell>
          <cell r="D858">
            <v>9.9025312544944075</v>
          </cell>
          <cell r="E858">
            <v>11.655200147143036</v>
          </cell>
          <cell r="F858">
            <v>10.818949041293976</v>
          </cell>
          <cell r="G858">
            <v>20.116799915792086</v>
          </cell>
          <cell r="H858">
            <v>29.216666691892183</v>
          </cell>
          <cell r="I858">
            <v>26.53485951645126</v>
          </cell>
        </row>
        <row r="859">
          <cell r="A859" t="str">
            <v>RHEM-SHELCHP</v>
          </cell>
          <cell r="B859" t="str">
            <v>VAR_fin</v>
          </cell>
          <cell r="C859" t="str">
            <v>RHEMELCHPC</v>
          </cell>
          <cell r="D859">
            <v>9.9025312544944075</v>
          </cell>
          <cell r="E859">
            <v>11.655200147143036</v>
          </cell>
          <cell r="F859">
            <v>10.818949041293976</v>
          </cell>
          <cell r="G859">
            <v>20.116799915792086</v>
          </cell>
          <cell r="H859">
            <v>29.216666691892183</v>
          </cell>
          <cell r="I859">
            <v>26.53485951645126</v>
          </cell>
        </row>
        <row r="860">
          <cell r="A860" t="str">
            <v>RHEM-SHELCHP</v>
          </cell>
          <cell r="B860" t="str">
            <v>VAR_fin</v>
          </cell>
          <cell r="C860" t="str">
            <v>RHEM_ELC</v>
          </cell>
          <cell r="D860">
            <v>3.0945410094054275</v>
          </cell>
          <cell r="E860">
            <v>3.5825410208285291</v>
          </cell>
          <cell r="F860">
            <v>3.4139965179907019</v>
          </cell>
          <cell r="G860">
            <v>5.7150810918598438</v>
          </cell>
          <cell r="H860">
            <v>7.5595600726043157</v>
          </cell>
          <cell r="I860">
            <v>6.3100497361756274</v>
          </cell>
        </row>
        <row r="861">
          <cell r="A861" t="str">
            <v>RHEM-SHELCHP</v>
          </cell>
          <cell r="B861" t="str">
            <v>VAR_ncap</v>
          </cell>
          <cell r="C861" t="str">
            <v>-</v>
          </cell>
          <cell r="D861">
            <v>2.8296842640143101E-6</v>
          </cell>
          <cell r="E861">
            <v>0.12376015246928999</v>
          </cell>
          <cell r="F861">
            <v>1.13448006428789E-6</v>
          </cell>
          <cell r="G861">
            <v>0.59751275776233803</v>
          </cell>
          <cell r="H861">
            <v>0.77684872867881005</v>
          </cell>
          <cell r="I861">
            <v>0.93848749019006406</v>
          </cell>
        </row>
        <row r="862">
          <cell r="A862" t="str">
            <v>RHEM-SHELCHP</v>
          </cell>
          <cell r="B862" t="str">
            <v>VAR_cap</v>
          </cell>
          <cell r="C862" t="str">
            <v>-</v>
          </cell>
          <cell r="D862">
            <v>0.69925478007626307</v>
          </cell>
          <cell r="E862">
            <v>0.82301484250223234</v>
          </cell>
          <cell r="F862">
            <v>0.82301518883939473</v>
          </cell>
          <cell r="G862">
            <v>1.4205280687658886</v>
          </cell>
          <cell r="H862">
            <v>2.0631085388410533</v>
          </cell>
          <cell r="I862">
            <v>1.8737323819013976</v>
          </cell>
        </row>
        <row r="863">
          <cell r="A863" t="str">
            <v>RHNM-SHSTG-ELC</v>
          </cell>
          <cell r="B863" t="str">
            <v>VAR_fout</v>
          </cell>
          <cell r="C863" t="str">
            <v>RHNM-SHAELCB</v>
          </cell>
          <cell r="E863">
            <v>3.9703804866904579E-6</v>
          </cell>
          <cell r="F863">
            <v>5.7579859626029883E-5</v>
          </cell>
          <cell r="G863">
            <v>2.6480505805449124E-4</v>
          </cell>
          <cell r="H863">
            <v>1.4195161159806605E-4</v>
          </cell>
          <cell r="I863">
            <v>1.2735531236433115E-4</v>
          </cell>
        </row>
        <row r="864">
          <cell r="A864" t="str">
            <v>RHNM-SHSTG-ELC</v>
          </cell>
          <cell r="B864" t="str">
            <v>VAR_fin</v>
          </cell>
          <cell r="C864" t="str">
            <v>RHNM-SHAELCB</v>
          </cell>
          <cell r="E864">
            <v>2.8461944933734647E-7</v>
          </cell>
          <cell r="F864">
            <v>5.4699453780797517E-5</v>
          </cell>
          <cell r="G864">
            <v>2.6159583315335289E-4</v>
          </cell>
          <cell r="H864">
            <v>1.4047028592341674E-4</v>
          </cell>
          <cell r="I864">
            <v>1.2598949720052849E-4</v>
          </cell>
        </row>
        <row r="865">
          <cell r="A865" t="str">
            <v>RHNM-SHSTG-ELC</v>
          </cell>
          <cell r="B865" t="str">
            <v>VAR_ncap</v>
          </cell>
          <cell r="C865" t="str">
            <v>-</v>
          </cell>
          <cell r="D865">
            <v>1.8374696609240601E-4</v>
          </cell>
          <cell r="E865">
            <v>2.6771593512186398E-3</v>
          </cell>
          <cell r="F865">
            <v>4.8704836625489901E-5</v>
          </cell>
          <cell r="G865">
            <v>5.4910105845184601E-5</v>
          </cell>
          <cell r="H865">
            <v>4.8090383105105801E-5</v>
          </cell>
          <cell r="I865">
            <v>3.6973810946542997E-5</v>
          </cell>
        </row>
        <row r="866">
          <cell r="A866" t="str">
            <v>RHNM-SHSTG-ELC</v>
          </cell>
          <cell r="B866" t="str">
            <v>VAR_cap</v>
          </cell>
          <cell r="C866" t="str">
            <v>-</v>
          </cell>
          <cell r="D866">
            <v>1.8374696609240601E-4</v>
          </cell>
          <cell r="E866">
            <v>2.8537332956259332E-3</v>
          </cell>
          <cell r="F866">
            <v>2.7492858623351882E-3</v>
          </cell>
          <cell r="G866">
            <v>2.2303281332939871E-3</v>
          </cell>
          <cell r="H866">
            <v>1.9282579192905609E-4</v>
          </cell>
          <cell r="I866">
            <v>8.1553363914424714E-5</v>
          </cell>
        </row>
        <row r="867">
          <cell r="A867" t="str">
            <v>D-RWOD</v>
          </cell>
          <cell r="B867" t="str">
            <v>VAR_fout</v>
          </cell>
          <cell r="C867" t="str">
            <v>RWOD</v>
          </cell>
          <cell r="D867">
            <v>13.722998193458366</v>
          </cell>
          <cell r="E867">
            <v>14.667791674</v>
          </cell>
          <cell r="F867">
            <v>16.224144353664347</v>
          </cell>
          <cell r="G867">
            <v>12.993743675685657</v>
          </cell>
          <cell r="H867">
            <v>7.5357716908968042</v>
          </cell>
          <cell r="I867">
            <v>3.326249552001578</v>
          </cell>
        </row>
        <row r="868">
          <cell r="A868" t="str">
            <v>D-RWOD</v>
          </cell>
          <cell r="B868" t="str">
            <v>VAR_fin</v>
          </cell>
          <cell r="C868" t="str">
            <v>WOD</v>
          </cell>
          <cell r="D868">
            <v>13.722998193458366</v>
          </cell>
          <cell r="E868">
            <v>14.667791674</v>
          </cell>
          <cell r="F868">
            <v>16.224144353664347</v>
          </cell>
          <cell r="G868">
            <v>12.993743675685657</v>
          </cell>
          <cell r="H868">
            <v>7.5357716908968042</v>
          </cell>
          <cell r="I868">
            <v>3.326249552001578</v>
          </cell>
        </row>
        <row r="869">
          <cell r="A869" t="str">
            <v>RHNS-SHLTHCHPWOD</v>
          </cell>
          <cell r="B869" t="str">
            <v>VAR_ncap</v>
          </cell>
          <cell r="C869" t="str">
            <v>-</v>
          </cell>
          <cell r="G869">
            <v>1.9208309002094299E-4</v>
          </cell>
          <cell r="H869">
            <v>9.2775943296597997E-5</v>
          </cell>
          <cell r="I869">
            <v>4.9541626878319903E-5</v>
          </cell>
        </row>
        <row r="870">
          <cell r="A870" t="str">
            <v>RHNS-SHLTHCHPWOD</v>
          </cell>
          <cell r="B870" t="str">
            <v>VAR_cap</v>
          </cell>
          <cell r="C870" t="str">
            <v>-</v>
          </cell>
          <cell r="G870">
            <v>1.9208309002094299E-4</v>
          </cell>
          <cell r="H870">
            <v>1.76843110670542E-4</v>
          </cell>
          <cell r="I870">
            <v>8.4685029822695006E-5</v>
          </cell>
        </row>
        <row r="871">
          <cell r="A871" t="str">
            <v>RHNM-SHELCBR</v>
          </cell>
          <cell r="B871" t="str">
            <v>VAR_fout</v>
          </cell>
          <cell r="C871" t="str">
            <v>RHNM-SHAELCB</v>
          </cell>
          <cell r="E871">
            <v>0.15438703871588005</v>
          </cell>
          <cell r="F871">
            <v>7.0010927903742888E-4</v>
          </cell>
          <cell r="G871">
            <v>1.0916315734023692E-3</v>
          </cell>
          <cell r="H871">
            <v>1.1199145295612437E-3</v>
          </cell>
          <cell r="I871">
            <v>8.3020402374836685E-4</v>
          </cell>
        </row>
        <row r="872">
          <cell r="A872" t="str">
            <v>RHNM-SHELCBR</v>
          </cell>
          <cell r="B872" t="str">
            <v>VAR_fin</v>
          </cell>
          <cell r="C872" t="str">
            <v>RHNM_ELC</v>
          </cell>
          <cell r="E872">
            <v>0.16251267233250546</v>
          </cell>
          <cell r="F872">
            <v>7.3695713582887267E-4</v>
          </cell>
          <cell r="G872">
            <v>1.1490858667393357E-3</v>
          </cell>
          <cell r="H872">
            <v>1.1788573995381501E-3</v>
          </cell>
          <cell r="I872">
            <v>8.7389897236670128E-4</v>
          </cell>
        </row>
        <row r="873">
          <cell r="A873" t="str">
            <v>RHNM-SHELCBR</v>
          </cell>
          <cell r="B873" t="str">
            <v>VAR_ncap</v>
          </cell>
          <cell r="C873" t="str">
            <v>-</v>
          </cell>
          <cell r="E873">
            <v>1.21731439479612E-2</v>
          </cell>
        </row>
        <row r="874">
          <cell r="A874" t="str">
            <v>RHNM-SHELCBR</v>
          </cell>
          <cell r="B874" t="str">
            <v>VAR_cap</v>
          </cell>
          <cell r="C874" t="str">
            <v>-</v>
          </cell>
          <cell r="E874">
            <v>1.21731439479612E-2</v>
          </cell>
          <cell r="F874">
            <v>1.1685129337996192E-2</v>
          </cell>
          <cell r="G874">
            <v>9.4782303517724695E-3</v>
          </cell>
          <cell r="H874">
            <v>8.1925765523314833E-4</v>
          </cell>
          <cell r="I874">
            <v>3.458764252759624E-4</v>
          </cell>
        </row>
        <row r="875">
          <cell r="A875" t="str">
            <v>RHNS-SHSTG-NGAHP</v>
          </cell>
          <cell r="B875" t="str">
            <v>VAR_fout</v>
          </cell>
          <cell r="C875" t="str">
            <v>RHNS-SHANGAH</v>
          </cell>
          <cell r="F875">
            <v>1.1963732210651841E-2</v>
          </cell>
          <cell r="G875">
            <v>8.6949897881966068E-2</v>
          </cell>
          <cell r="H875">
            <v>5.1072946973636138E-2</v>
          </cell>
          <cell r="I875">
            <v>7.6778866362152254E-2</v>
          </cell>
        </row>
        <row r="876">
          <cell r="A876" t="str">
            <v>RHNS-SHSTG-NGAHP</v>
          </cell>
          <cell r="B876" t="str">
            <v>VAR_fin</v>
          </cell>
          <cell r="C876" t="str">
            <v>RHNS-SHANGAH</v>
          </cell>
          <cell r="F876">
            <v>1.1973073604281287E-2</v>
          </cell>
          <cell r="G876">
            <v>8.6961223960985032E-2</v>
          </cell>
          <cell r="H876">
            <v>5.1080838213503767E-2</v>
          </cell>
          <cell r="I876">
            <v>7.6791911650301525E-2</v>
          </cell>
        </row>
        <row r="877">
          <cell r="A877" t="str">
            <v>RHNS-SHSTG-NGAHP</v>
          </cell>
          <cell r="B877" t="str">
            <v>VAR_ncap</v>
          </cell>
          <cell r="C877" t="str">
            <v>-</v>
          </cell>
          <cell r="D877">
            <v>1.1785465139229399E-5</v>
          </cell>
          <cell r="E877">
            <v>6.7427316343043102E-6</v>
          </cell>
          <cell r="F877">
            <v>2.6752776774429899E-3</v>
          </cell>
          <cell r="G877">
            <v>5.8038604326295399E-3</v>
          </cell>
          <cell r="H877">
            <v>6.1167784430188402E-3</v>
          </cell>
          <cell r="I877">
            <v>8.3737771357476603E-3</v>
          </cell>
        </row>
        <row r="878">
          <cell r="A878" t="str">
            <v>RHNS-SHSTG-NGAHP</v>
          </cell>
          <cell r="B878" t="str">
            <v>VAR_cap</v>
          </cell>
          <cell r="C878" t="str">
            <v>-</v>
          </cell>
          <cell r="D878">
            <v>1.1785465139229399E-5</v>
          </cell>
          <cell r="E878">
            <v>4.2942615163999963E-7</v>
          </cell>
          <cell r="F878">
            <v>2.6721259614813746E-3</v>
          </cell>
          <cell r="G878">
            <v>8.4660124679368821E-3</v>
          </cell>
          <cell r="H878">
            <v>1.3501617986943019E-2</v>
          </cell>
          <cell r="I878">
            <v>1.4046769978780576E-2</v>
          </cell>
        </row>
        <row r="879">
          <cell r="A879" t="str">
            <v>RHNS-SHLTHDH</v>
          </cell>
          <cell r="B879" t="str">
            <v>VAR_fout</v>
          </cell>
          <cell r="C879" t="str">
            <v>RHNS-SHLTHD</v>
          </cell>
          <cell r="E879">
            <v>5.3919986187271153E-2</v>
          </cell>
          <cell r="F879">
            <v>7.8740687612660551E-2</v>
          </cell>
          <cell r="G879">
            <v>0.15331921021213579</v>
          </cell>
          <cell r="H879">
            <v>0.16657639380014361</v>
          </cell>
          <cell r="I879">
            <v>0.18806471598272831</v>
          </cell>
        </row>
        <row r="880">
          <cell r="A880" t="str">
            <v>RHNS-SHLTHDH</v>
          </cell>
          <cell r="B880" t="str">
            <v>VAR_fin</v>
          </cell>
          <cell r="C880" t="str">
            <v>RHNS_LTH_DH</v>
          </cell>
          <cell r="E880">
            <v>5.4464632512395104E-2</v>
          </cell>
          <cell r="F880">
            <v>8.6988299242261105E-2</v>
          </cell>
          <cell r="G880">
            <v>0.16902751763053397</v>
          </cell>
          <cell r="H880">
            <v>0.18346372458079838</v>
          </cell>
          <cell r="I880">
            <v>0.20713050912734801</v>
          </cell>
        </row>
        <row r="881">
          <cell r="A881" t="str">
            <v>RHNS-SHLTHDH</v>
          </cell>
          <cell r="B881" t="str">
            <v>VAR_fin</v>
          </cell>
          <cell r="C881" t="str">
            <v>RHNSLTHDHC</v>
          </cell>
          <cell r="E881">
            <v>5.3919986187271153E-2</v>
          </cell>
          <cell r="F881">
            <v>7.8740687612660551E-2</v>
          </cell>
          <cell r="G881">
            <v>0.15331921021213579</v>
          </cell>
          <cell r="H881">
            <v>0.16657639380014361</v>
          </cell>
          <cell r="I881">
            <v>0.18806471598272831</v>
          </cell>
        </row>
        <row r="882">
          <cell r="A882" t="str">
            <v>RHNS-SHLTHDH</v>
          </cell>
          <cell r="B882" t="str">
            <v>VAR_ncap</v>
          </cell>
          <cell r="C882" t="str">
            <v>-</v>
          </cell>
          <cell r="E882">
            <v>6.9387726538279303E-3</v>
          </cell>
          <cell r="F882">
            <v>4.6855614225123502E-3</v>
          </cell>
          <cell r="G882">
            <v>7.0201641108020903E-3</v>
          </cell>
          <cell r="H882">
            <v>1.6483224866539199E-2</v>
          </cell>
          <cell r="I882">
            <v>5.3385438916239199E-3</v>
          </cell>
        </row>
        <row r="883">
          <cell r="A883" t="str">
            <v>RHNS-SHLTHDH</v>
          </cell>
          <cell r="B883" t="str">
            <v>VAR_cap</v>
          </cell>
          <cell r="C883" t="str">
            <v>-</v>
          </cell>
          <cell r="E883">
            <v>6.9387726538279303E-3</v>
          </cell>
          <cell r="F883">
            <v>7.0683442329373602E-3</v>
          </cell>
          <cell r="G883">
            <v>1.121048475709966E-2</v>
          </cell>
          <cell r="H883">
            <v>3.0169451447679203E-2</v>
          </cell>
          <cell r="I883">
            <v>1.8663126860894302E-2</v>
          </cell>
        </row>
        <row r="884">
          <cell r="A884" t="str">
            <v>ITOT-SWHNGAHP</v>
          </cell>
          <cell r="B884" t="str">
            <v>VAR_fout</v>
          </cell>
          <cell r="C884" t="str">
            <v>ITOT-SWHANGAH</v>
          </cell>
          <cell r="F884">
            <v>3.9899510219371529E-3</v>
          </cell>
          <cell r="G884">
            <v>4.2560974575443647E-3</v>
          </cell>
          <cell r="H884">
            <v>4.3742161504230076E-3</v>
          </cell>
          <cell r="I884">
            <v>4.6554952252963414E-3</v>
          </cell>
        </row>
        <row r="885">
          <cell r="A885" t="str">
            <v>ITOT-SWHNGAHP</v>
          </cell>
          <cell r="B885" t="str">
            <v>VAR_fout</v>
          </cell>
          <cell r="C885" t="str">
            <v>CO2_I</v>
          </cell>
          <cell r="F885">
            <v>0.119354177851131</v>
          </cell>
          <cell r="G885">
            <v>0.12487587384259401</v>
          </cell>
          <cell r="H885">
            <v>0.123604314015325</v>
          </cell>
          <cell r="I885">
            <v>0.126869662228039</v>
          </cell>
        </row>
        <row r="886">
          <cell r="A886" t="str">
            <v>ITOT-SWHNGAHP</v>
          </cell>
          <cell r="B886" t="str">
            <v>VAR_fin</v>
          </cell>
          <cell r="C886" t="str">
            <v>ITOTELCHPC</v>
          </cell>
          <cell r="F886">
            <v>3.9899510219371529E-3</v>
          </cell>
          <cell r="G886">
            <v>4.2560974575443647E-3</v>
          </cell>
          <cell r="H886">
            <v>4.3742161504230076E-3</v>
          </cell>
          <cell r="I886">
            <v>4.6554952252963414E-3</v>
          </cell>
        </row>
        <row r="887">
          <cell r="A887" t="str">
            <v>ITOT-SWHNGAHP</v>
          </cell>
          <cell r="B887" t="str">
            <v>VAR_fin</v>
          </cell>
          <cell r="C887" t="str">
            <v>INGA</v>
          </cell>
          <cell r="F887">
            <v>2.1162088271477184E-3</v>
          </cell>
          <cell r="G887">
            <v>2.2141112383438693E-3</v>
          </cell>
          <cell r="H887">
            <v>2.1915658513355415E-3</v>
          </cell>
          <cell r="I887">
            <v>2.249462096241829E-3</v>
          </cell>
        </row>
        <row r="888">
          <cell r="A888" t="str">
            <v>ITOT-SWHNGAHP</v>
          </cell>
          <cell r="B888" t="str">
            <v>VAR_ncap</v>
          </cell>
          <cell r="C888" t="str">
            <v>-</v>
          </cell>
          <cell r="E888">
            <v>4.0398458663536298E-4</v>
          </cell>
          <cell r="F888">
            <v>6.1958525496457796E-6</v>
          </cell>
          <cell r="G888">
            <v>4.9035236768226897E-6</v>
          </cell>
          <cell r="H888">
            <v>2.01340835074193E-4</v>
          </cell>
          <cell r="I888">
            <v>1.8230559094985999E-4</v>
          </cell>
        </row>
        <row r="889">
          <cell r="A889" t="str">
            <v>ITOT-SWHNGAHP</v>
          </cell>
          <cell r="B889" t="str">
            <v>VAR_cap</v>
          </cell>
          <cell r="C889" t="str">
            <v>-</v>
          </cell>
          <cell r="E889">
            <v>4.0398458663536298E-4</v>
          </cell>
          <cell r="F889">
            <v>4.0911907801969677E-4</v>
          </cell>
          <cell r="G889">
            <v>4.1051709842306321E-4</v>
          </cell>
          <cell r="H889">
            <v>4.4173782510855954E-4</v>
          </cell>
          <cell r="I889">
            <v>4.2599088695753347E-4</v>
          </cell>
        </row>
        <row r="890">
          <cell r="A890" t="str">
            <v>RHSA-WHLFOBR</v>
          </cell>
          <cell r="B890" t="str">
            <v>VAR_fout</v>
          </cell>
          <cell r="C890" t="str">
            <v>CO2_R</v>
          </cell>
          <cell r="D890">
            <v>726.712632794657</v>
          </cell>
          <cell r="E890">
            <v>571.64686529251901</v>
          </cell>
          <cell r="F890">
            <v>634.48665194706098</v>
          </cell>
          <cell r="G890">
            <v>249.18573648740701</v>
          </cell>
          <cell r="H890">
            <v>52.110655961539003</v>
          </cell>
          <cell r="I890">
            <v>2.10589334829546</v>
          </cell>
        </row>
        <row r="891">
          <cell r="A891" t="str">
            <v>RHSA-WHLFOBR</v>
          </cell>
          <cell r="B891" t="str">
            <v>VAR_fout</v>
          </cell>
          <cell r="C891" t="str">
            <v>RHSA-WHLFO</v>
          </cell>
          <cell r="D891">
            <v>6.9844610795506377</v>
          </cell>
          <cell r="E891">
            <v>5.5425959632330901</v>
          </cell>
          <cell r="F891">
            <v>4.3218000773449612</v>
          </cell>
          <cell r="G891">
            <v>1.8237009466484833</v>
          </cell>
          <cell r="H891">
            <v>0.39490965247838938</v>
          </cell>
          <cell r="I891">
            <v>1.6956067561063253E-2</v>
          </cell>
        </row>
        <row r="892">
          <cell r="A892" t="str">
            <v>RHSA-WHLFOBR</v>
          </cell>
          <cell r="B892" t="str">
            <v>VAR_fin</v>
          </cell>
          <cell r="C892" t="str">
            <v>RLFO</v>
          </cell>
          <cell r="D892">
            <v>9.8604156417185482</v>
          </cell>
          <cell r="E892">
            <v>7.7564025141454369</v>
          </cell>
          <cell r="F892">
            <v>8.6090454809641983</v>
          </cell>
          <cell r="G892">
            <v>3.3810819062063304</v>
          </cell>
          <cell r="H892">
            <v>0.70706453136416514</v>
          </cell>
          <cell r="I892">
            <v>2.8573858185827226E-2</v>
          </cell>
        </row>
        <row r="893">
          <cell r="A893" t="str">
            <v>RHSA-WHLFOBR</v>
          </cell>
          <cell r="B893" t="str">
            <v>VAR_ncap</v>
          </cell>
          <cell r="C893" t="str">
            <v>-</v>
          </cell>
          <cell r="E893">
            <v>4.72747235769949E-7</v>
          </cell>
          <cell r="F893">
            <v>2.2049531562790599E-7</v>
          </cell>
          <cell r="G893">
            <v>4.4014526498602402E-7</v>
          </cell>
          <cell r="H893">
            <v>3.01410076316145E-6</v>
          </cell>
        </row>
        <row r="894">
          <cell r="A894" t="str">
            <v>RHSA-WHLFOBR</v>
          </cell>
          <cell r="B894" t="str">
            <v>VAR_cap</v>
          </cell>
          <cell r="C894" t="str">
            <v>-</v>
          </cell>
          <cell r="D894">
            <v>0.47738433216181703</v>
          </cell>
          <cell r="E894">
            <v>0.47738091179045189</v>
          </cell>
          <cell r="F894">
            <v>0.31504721417532444</v>
          </cell>
          <cell r="G894">
            <v>0.21227942274257339</v>
          </cell>
          <cell r="H894">
            <v>2.7005290460249149E-2</v>
          </cell>
          <cell r="I894">
            <v>1.7363222920501586E-3</v>
          </cell>
        </row>
        <row r="895">
          <cell r="A895" t="str">
            <v>D-IWST</v>
          </cell>
          <cell r="B895" t="str">
            <v>VAR_fout</v>
          </cell>
          <cell r="C895" t="str">
            <v>CO2</v>
          </cell>
          <cell r="D895">
            <v>1068.1285109175999</v>
          </cell>
          <cell r="E895">
            <v>1089.0748171760799</v>
          </cell>
          <cell r="F895">
            <v>1024.6411911919699</v>
          </cell>
          <cell r="G895">
            <v>1045.95619860393</v>
          </cell>
          <cell r="H895">
            <v>996.69828121909302</v>
          </cell>
          <cell r="I895">
            <v>986.58520520752802</v>
          </cell>
        </row>
        <row r="896">
          <cell r="A896" t="str">
            <v>D-IWST</v>
          </cell>
          <cell r="B896" t="str">
            <v>VAR_fout</v>
          </cell>
          <cell r="C896" t="str">
            <v>IWST</v>
          </cell>
          <cell r="D896">
            <v>11.510005505577622</v>
          </cell>
          <cell r="E896">
            <v>11.73572001267333</v>
          </cell>
          <cell r="F896">
            <v>11.041392146465164</v>
          </cell>
          <cell r="G896">
            <v>11.271079726335499</v>
          </cell>
          <cell r="H896">
            <v>10.740283202791954</v>
          </cell>
          <cell r="I896">
            <v>10.631306090598352</v>
          </cell>
        </row>
        <row r="897">
          <cell r="A897" t="str">
            <v>D-IWST</v>
          </cell>
          <cell r="B897" t="str">
            <v>VAR_fin</v>
          </cell>
          <cell r="C897" t="str">
            <v>WSTNREN</v>
          </cell>
          <cell r="D897">
            <v>11.510005505577622</v>
          </cell>
          <cell r="E897">
            <v>11.73572001267333</v>
          </cell>
          <cell r="F897">
            <v>11.041392146465164</v>
          </cell>
          <cell r="G897">
            <v>11.271079726335499</v>
          </cell>
          <cell r="H897">
            <v>10.740283202791954</v>
          </cell>
          <cell r="I897">
            <v>10.631306090598352</v>
          </cell>
        </row>
        <row r="898">
          <cell r="A898" t="str">
            <v>RHES-SHLFOBR</v>
          </cell>
          <cell r="B898" t="str">
            <v>VAR_fout</v>
          </cell>
          <cell r="C898" t="str">
            <v>CO2_R</v>
          </cell>
          <cell r="D898">
            <v>1783.6628577896399</v>
          </cell>
          <cell r="E898">
            <v>1640.96949046943</v>
          </cell>
          <cell r="F898">
            <v>1194.1898145361499</v>
          </cell>
          <cell r="G898">
            <v>508.922988883855</v>
          </cell>
          <cell r="H898">
            <v>55.802131356571898</v>
          </cell>
          <cell r="I898">
            <v>3.8507527926656899</v>
          </cell>
        </row>
        <row r="899">
          <cell r="A899" t="str">
            <v>RHES-SHLFOBR</v>
          </cell>
          <cell r="B899" t="str">
            <v>VAR_fout</v>
          </cell>
          <cell r="C899" t="str">
            <v>RHES-SHLFO</v>
          </cell>
          <cell r="D899">
            <v>21.680660019491924</v>
          </cell>
          <cell r="E899">
            <v>19.946203101024842</v>
          </cell>
          <cell r="F899">
            <v>13.690972943843697</v>
          </cell>
          <cell r="G899">
            <v>5.9590006464862846</v>
          </cell>
          <cell r="H899">
            <v>0.65194214235709813</v>
          </cell>
          <cell r="I899">
            <v>4.5096848354781678E-2</v>
          </cell>
        </row>
        <row r="900">
          <cell r="A900" t="str">
            <v>RHES-SHLFOBR</v>
          </cell>
          <cell r="B900" t="str">
            <v>VAR_fin</v>
          </cell>
          <cell r="C900" t="str">
            <v>RLFO</v>
          </cell>
          <cell r="D900">
            <v>24.20166699850262</v>
          </cell>
          <cell r="E900">
            <v>22.265529043004445</v>
          </cell>
          <cell r="F900">
            <v>16.203389613787653</v>
          </cell>
          <cell r="G900">
            <v>6.9053322779356296</v>
          </cell>
          <cell r="H900">
            <v>0.75715239289785452</v>
          </cell>
          <cell r="I900">
            <v>5.2249020253265846E-2</v>
          </cell>
        </row>
        <row r="901">
          <cell r="A901" t="str">
            <v>RHES-SHLFOBR</v>
          </cell>
          <cell r="B901" t="str">
            <v>VAR_ncap</v>
          </cell>
          <cell r="C901" t="str">
            <v>-</v>
          </cell>
          <cell r="E901">
            <v>2.3606560752199601E-7</v>
          </cell>
          <cell r="F901">
            <v>1.12254313759856E-7</v>
          </cell>
          <cell r="G901">
            <v>2.5967426370521899E-7</v>
          </cell>
          <cell r="H901">
            <v>5.2662893628956597E-2</v>
          </cell>
          <cell r="I901">
            <v>8.3600030819806804E-8</v>
          </cell>
        </row>
        <row r="902">
          <cell r="A902" t="str">
            <v>RHES-SHLFOBR</v>
          </cell>
          <cell r="B902" t="str">
            <v>VAR_cap</v>
          </cell>
          <cell r="C902" t="str">
            <v>-</v>
          </cell>
          <cell r="D902">
            <v>1.7515307393373001</v>
          </cell>
          <cell r="E902">
            <v>1.7509546547302743</v>
          </cell>
          <cell r="F902">
            <v>1.1092129282262593</v>
          </cell>
          <cell r="G902">
            <v>1.0131116676901559</v>
          </cell>
          <cell r="H902">
            <v>5.2683629051074259E-2</v>
          </cell>
          <cell r="I902">
            <v>5.7115775678803007E-3</v>
          </cell>
        </row>
        <row r="903">
          <cell r="A903" t="str">
            <v>ITOT-SWHSTG</v>
          </cell>
          <cell r="B903" t="str">
            <v>VAR_fout</v>
          </cell>
          <cell r="C903" t="str">
            <v>ITOT-SWH</v>
          </cell>
          <cell r="D903">
            <v>4.5591446611716845E-6</v>
          </cell>
          <cell r="E903">
            <v>2.8341848171393238E-4</v>
          </cell>
          <cell r="F903">
            <v>2.3655214212926433E-3</v>
          </cell>
          <cell r="G903">
            <v>2.0411828653480188E-3</v>
          </cell>
          <cell r="H903">
            <v>8.1344513707906057E-3</v>
          </cell>
          <cell r="I903">
            <v>0.78668337621646489</v>
          </cell>
        </row>
        <row r="904">
          <cell r="A904" t="str">
            <v>ITOT-SWHSTG</v>
          </cell>
          <cell r="B904" t="str">
            <v>VAR_fout</v>
          </cell>
          <cell r="C904" t="str">
            <v>AUX_ITOT-STG_OUT</v>
          </cell>
          <cell r="D904">
            <v>4.5591446611716777E-6</v>
          </cell>
          <cell r="E904">
            <v>2.8318701340157316E-4</v>
          </cell>
          <cell r="F904">
            <v>2.3625041745818135E-3</v>
          </cell>
          <cell r="G904">
            <v>2.0411828653480232E-3</v>
          </cell>
          <cell r="H904">
            <v>8.1344513707906178E-3</v>
          </cell>
          <cell r="I904">
            <v>0.78668337621646489</v>
          </cell>
        </row>
        <row r="905">
          <cell r="A905" t="str">
            <v>ITOT-SWHSTG</v>
          </cell>
          <cell r="B905" t="str">
            <v>VAR_fin</v>
          </cell>
          <cell r="C905" t="str">
            <v>AUX_ITOT-STG_IN</v>
          </cell>
          <cell r="D905">
            <v>5.6292025763243334E-6</v>
          </cell>
          <cell r="E905">
            <v>3.4479082841028393E-4</v>
          </cell>
          <cell r="F905">
            <v>2.8160969570239962E-3</v>
          </cell>
          <cell r="G905">
            <v>2.3461870505677991E-3</v>
          </cell>
          <cell r="H905">
            <v>8.7467218012704673E-3</v>
          </cell>
          <cell r="I905">
            <v>0.79462967285774488</v>
          </cell>
        </row>
        <row r="906">
          <cell r="A906" t="str">
            <v>ITOT-SWHSTG</v>
          </cell>
          <cell r="B906" t="str">
            <v>VAR_fin</v>
          </cell>
          <cell r="C906" t="str">
            <v>ITOT-SWH</v>
          </cell>
          <cell r="D906">
            <v>5.6292025763243334E-6</v>
          </cell>
          <cell r="E906">
            <v>3.4479082841028393E-4</v>
          </cell>
          <cell r="F906">
            <v>2.8160969570239962E-3</v>
          </cell>
          <cell r="G906">
            <v>2.3461870505677991E-3</v>
          </cell>
          <cell r="H906">
            <v>8.7467218012704673E-3</v>
          </cell>
          <cell r="I906">
            <v>0.79462967285774488</v>
          </cell>
        </row>
        <row r="907">
          <cell r="A907" t="str">
            <v>ITOT-SWHSTG</v>
          </cell>
          <cell r="B907" t="str">
            <v>VAR_ncap</v>
          </cell>
          <cell r="C907" t="str">
            <v>-</v>
          </cell>
          <cell r="D907">
            <v>1.1055341936861E-3</v>
          </cell>
          <cell r="E907">
            <v>7.0235557818375601E-6</v>
          </cell>
          <cell r="F907">
            <v>1.427227393014E-5</v>
          </cell>
          <cell r="G907">
            <v>2.7545078383267299E-5</v>
          </cell>
          <cell r="H907">
            <v>3.0475370729975598E-4</v>
          </cell>
          <cell r="I907">
            <v>0.204798305561884</v>
          </cell>
        </row>
        <row r="908">
          <cell r="A908" t="str">
            <v>ITOT-SWHSTG</v>
          </cell>
          <cell r="B908" t="str">
            <v>VAR_cap</v>
          </cell>
          <cell r="C908" t="str">
            <v>-</v>
          </cell>
          <cell r="D908">
            <v>1.1055341936861E-3</v>
          </cell>
          <cell r="E908">
            <v>1.1117704200171829E-3</v>
          </cell>
          <cell r="F908">
            <v>1.1243103239523954E-3</v>
          </cell>
          <cell r="G908">
            <v>1.1477368268587398E-3</v>
          </cell>
          <cell r="H908">
            <v>1.9390827818385891E-3</v>
          </cell>
          <cell r="I908">
            <v>0.20569758184710962</v>
          </cell>
        </row>
        <row r="909">
          <cell r="A909" t="str">
            <v>SCOM-SHLFOBR</v>
          </cell>
          <cell r="B909" t="str">
            <v>VAR_fout</v>
          </cell>
          <cell r="C909" t="str">
            <v>CO2_S</v>
          </cell>
          <cell r="D909">
            <v>2229.91412733173</v>
          </cell>
          <cell r="E909">
            <v>1867.07474722918</v>
          </cell>
          <cell r="F909">
            <v>1802.38423638267</v>
          </cell>
          <cell r="G909">
            <v>904.49757359581895</v>
          </cell>
          <cell r="H909">
            <v>174.574437103203</v>
          </cell>
          <cell r="I909">
            <v>5.83932506654366</v>
          </cell>
        </row>
        <row r="910">
          <cell r="A910" t="str">
            <v>SCOM-SHLFOBR</v>
          </cell>
          <cell r="B910" t="str">
            <v>VAR_fout</v>
          </cell>
          <cell r="C910" t="str">
            <v>SCOM-SHLFO</v>
          </cell>
          <cell r="D910">
            <v>24.843071828561985</v>
          </cell>
          <cell r="E910">
            <v>20.841933210187904</v>
          </cell>
          <cell r="F910">
            <v>19.279992613135196</v>
          </cell>
          <cell r="G910">
            <v>10.022013964569531</v>
          </cell>
          <cell r="H910">
            <v>1.9343196682658867</v>
          </cell>
          <cell r="I910">
            <v>6.5069620268638981E-2</v>
          </cell>
        </row>
        <row r="911">
          <cell r="A911" t="str">
            <v>SCOM-SHLFOBR</v>
          </cell>
          <cell r="B911" t="str">
            <v>VAR_fin</v>
          </cell>
          <cell r="C911" t="str">
            <v>SLFO</v>
          </cell>
          <cell r="D911">
            <v>30.256636734487458</v>
          </cell>
          <cell r="E911">
            <v>25.333442974615789</v>
          </cell>
          <cell r="F911">
            <v>24.45568841767529</v>
          </cell>
          <cell r="G911">
            <v>12.272694350011111</v>
          </cell>
          <cell r="H911">
            <v>2.3687169213460373</v>
          </cell>
          <cell r="I911">
            <v>7.9231004973455268E-2</v>
          </cell>
        </row>
        <row r="912">
          <cell r="A912" t="str">
            <v>SCOM-SHLFOBR</v>
          </cell>
          <cell r="B912" t="str">
            <v>VAR_ncap</v>
          </cell>
          <cell r="C912" t="str">
            <v>-</v>
          </cell>
          <cell r="D912">
            <v>1.27421268749069E-6</v>
          </cell>
          <cell r="E912">
            <v>1.20283469282244E-6</v>
          </cell>
          <cell r="F912">
            <v>9.5107997750663305E-7</v>
          </cell>
          <cell r="G912">
            <v>1.3689674496284001E-6</v>
          </cell>
          <cell r="H912">
            <v>4.4455457965746904E-6</v>
          </cell>
          <cell r="I912">
            <v>2.9935665579545202E-7</v>
          </cell>
        </row>
        <row r="913">
          <cell r="A913" t="str">
            <v>SCOM-SHLFOBR</v>
          </cell>
          <cell r="B913" t="str">
            <v>VAR_cap</v>
          </cell>
          <cell r="C913" t="str">
            <v>-</v>
          </cell>
          <cell r="D913">
            <v>1.9285749314378076</v>
          </cell>
          <cell r="E913">
            <v>1.7446817349619832</v>
          </cell>
          <cell r="F913">
            <v>1.5150934906001838</v>
          </cell>
          <cell r="G913">
            <v>1.5149211374985583</v>
          </cell>
          <cell r="H913">
            <v>0.15213452648952691</v>
          </cell>
          <cell r="I913">
            <v>1.0185542405291494E-2</v>
          </cell>
        </row>
        <row r="914">
          <cell r="A914" t="str">
            <v>RHNM-SHPLTBR</v>
          </cell>
          <cell r="B914" t="str">
            <v>VAR_fout</v>
          </cell>
          <cell r="C914" t="str">
            <v>RHNM-SHPLT</v>
          </cell>
          <cell r="E914">
            <v>7.3539438463484097E-2</v>
          </cell>
        </row>
        <row r="915">
          <cell r="A915" t="str">
            <v>RHNM-SHPLTBR</v>
          </cell>
          <cell r="B915" t="str">
            <v>VAR_fin</v>
          </cell>
          <cell r="C915" t="str">
            <v>RPLT</v>
          </cell>
          <cell r="E915">
            <v>8.171048718164893E-2</v>
          </cell>
        </row>
        <row r="916">
          <cell r="A916" t="str">
            <v>RHNM-SHPLTBR</v>
          </cell>
          <cell r="B916" t="str">
            <v>VAR_fin</v>
          </cell>
          <cell r="C916" t="str">
            <v>RHNMPLTBRC</v>
          </cell>
          <cell r="E916">
            <v>7.3539438463484097E-2</v>
          </cell>
        </row>
        <row r="917">
          <cell r="A917" t="str">
            <v>RHNM-SHPLTBR</v>
          </cell>
          <cell r="B917" t="str">
            <v>VAR_ncap</v>
          </cell>
          <cell r="C917" t="str">
            <v>-</v>
          </cell>
          <cell r="E917">
            <v>5.7867042822309003E-3</v>
          </cell>
          <cell r="F917">
            <v>1.9658527227997501E-7</v>
          </cell>
          <cell r="G917">
            <v>2.8861582844578699E-7</v>
          </cell>
          <cell r="H917">
            <v>5.0160582555246501E-7</v>
          </cell>
          <cell r="I917">
            <v>3.0411163789694103E-7</v>
          </cell>
        </row>
        <row r="918">
          <cell r="A918" t="str">
            <v>RHNM-SHPLTBR</v>
          </cell>
          <cell r="B918" t="str">
            <v>VAR_cap</v>
          </cell>
          <cell r="C918" t="str">
            <v>-</v>
          </cell>
          <cell r="E918">
            <v>5.7867042822309003E-3</v>
          </cell>
          <cell r="F918">
            <v>1.8727709118479714E-5</v>
          </cell>
          <cell r="G918">
            <v>8.4028765853600904E-6</v>
          </cell>
          <cell r="H918">
            <v>3.8626352097008114E-7</v>
          </cell>
          <cell r="I918">
            <v>3.2736886881267101E-7</v>
          </cell>
        </row>
        <row r="919">
          <cell r="A919" t="str">
            <v>D-RHES_NKEV_GAS_ELC_CHP</v>
          </cell>
          <cell r="B919" t="str">
            <v>VAR_fout</v>
          </cell>
          <cell r="C919" t="str">
            <v>RHES_ELC</v>
          </cell>
          <cell r="D919">
            <v>7.4888289446560828E-3</v>
          </cell>
          <cell r="E919">
            <v>3.9309905389215702E-3</v>
          </cell>
          <cell r="F919">
            <v>1.8051493478857422E-3</v>
          </cell>
          <cell r="G919">
            <v>8.3086399337204081E-4</v>
          </cell>
          <cell r="H919">
            <v>1.8231985520987121E-3</v>
          </cell>
          <cell r="I919">
            <v>9.5599199679024052E-4</v>
          </cell>
        </row>
        <row r="920">
          <cell r="A920" t="str">
            <v>D-RHES_NKEV_GAS_ELC_CHP</v>
          </cell>
          <cell r="B920" t="str">
            <v>VAR_fout</v>
          </cell>
          <cell r="C920" t="str">
            <v>ELC5</v>
          </cell>
          <cell r="D920">
            <v>7.4087532817378584E-3</v>
          </cell>
          <cell r="E920">
            <v>3.9310991535949427E-3</v>
          </cell>
          <cell r="F920">
            <v>1.8054826141475418E-3</v>
          </cell>
          <cell r="G920">
            <v>8.3110151959609401E-4</v>
          </cell>
          <cell r="H920">
            <v>1.8261610070763692E-3</v>
          </cell>
          <cell r="I920">
            <v>9.5654065297163073E-4</v>
          </cell>
        </row>
        <row r="921">
          <cell r="A921" t="str">
            <v>D-RHES_NKEV_GAS_ELC_CHP</v>
          </cell>
          <cell r="B921" t="str">
            <v>VAR_fin</v>
          </cell>
          <cell r="C921" t="str">
            <v>RHES_NKEV_GAS_ELC_CHP</v>
          </cell>
          <cell r="D921">
            <v>1.4897582226393922E-2</v>
          </cell>
          <cell r="E921">
            <v>7.8620896925165155E-3</v>
          </cell>
          <cell r="F921">
            <v>3.603826532822233E-3</v>
          </cell>
          <cell r="G921">
            <v>1.6619655129681348E-3</v>
          </cell>
          <cell r="H921">
            <v>3.6493595591750804E-3</v>
          </cell>
          <cell r="I921">
            <v>1.91253264976187E-3</v>
          </cell>
        </row>
        <row r="922">
          <cell r="A922" t="str">
            <v>SCOM-SHSTG-SOL</v>
          </cell>
          <cell r="B922" t="str">
            <v>VAR_fout</v>
          </cell>
          <cell r="C922" t="str">
            <v>SCOM-SHASOL</v>
          </cell>
          <cell r="D922">
            <v>2.9632378886191102E-5</v>
          </cell>
          <cell r="E922">
            <v>3.0163252860334788E-5</v>
          </cell>
          <cell r="F922">
            <v>1.9369931362638492E-5</v>
          </cell>
          <cell r="G922">
            <v>1.789268786767988E-5</v>
          </cell>
          <cell r="H922">
            <v>2.6645380803742224E-5</v>
          </cell>
          <cell r="I922">
            <v>1.2480703282373939E-5</v>
          </cell>
        </row>
        <row r="923">
          <cell r="A923" t="str">
            <v>SCOM-SHSTG-SOL</v>
          </cell>
          <cell r="B923" t="str">
            <v>VAR_fin</v>
          </cell>
          <cell r="C923" t="str">
            <v>SCOM-SHASOL</v>
          </cell>
          <cell r="D923">
            <v>2.7134326093475256E-5</v>
          </cell>
          <cell r="E923">
            <v>2.9451839799798309E-5</v>
          </cell>
          <cell r="F923">
            <v>1.4801437372716511E-5</v>
          </cell>
          <cell r="G923">
            <v>1.3067701780313559E-5</v>
          </cell>
          <cell r="H923">
            <v>2.5617312011048165E-5</v>
          </cell>
          <cell r="I923">
            <v>6.7062865829177148E-6</v>
          </cell>
        </row>
        <row r="924">
          <cell r="A924" t="str">
            <v>SCOM-SHSTG-SOL</v>
          </cell>
          <cell r="B924" t="str">
            <v>VAR_ncap</v>
          </cell>
          <cell r="C924" t="str">
            <v>-</v>
          </cell>
          <cell r="D924">
            <v>1.0569759910191901E-2</v>
          </cell>
          <cell r="E924">
            <v>1.29316725973156E-2</v>
          </cell>
          <cell r="F924">
            <v>4.7962479118202798E-7</v>
          </cell>
          <cell r="G924">
            <v>4.1746741666283897E-3</v>
          </cell>
          <cell r="H924">
            <v>1.88597765480236E-2</v>
          </cell>
          <cell r="I924">
            <v>3.4452325443283902E-2</v>
          </cell>
        </row>
        <row r="925">
          <cell r="A925" t="str">
            <v>SCOM-SHSTG-SOL</v>
          </cell>
          <cell r="B925" t="str">
            <v>VAR_cap</v>
          </cell>
          <cell r="C925" t="str">
            <v>-</v>
          </cell>
          <cell r="D925">
            <v>1.0569759910191901E-2</v>
          </cell>
          <cell r="E925">
            <v>2.35014325075075E-2</v>
          </cell>
          <cell r="F925">
            <v>2.35019121322987E-2</v>
          </cell>
          <cell r="G925">
            <v>2.7676586298927101E-2</v>
          </cell>
          <cell r="H925">
            <v>4.0858405031734699E-2</v>
          </cell>
          <cell r="I925">
            <v>5.6238702275349599E-2</v>
          </cell>
        </row>
        <row r="926">
          <cell r="A926" t="str">
            <v>RHNM-SHELCBRA</v>
          </cell>
          <cell r="B926" t="str">
            <v>VAR_fout</v>
          </cell>
          <cell r="C926" t="str">
            <v>RHNM-SHELCB</v>
          </cell>
          <cell r="E926">
            <v>0.15439104885867852</v>
          </cell>
          <cell r="F926">
            <v>7.0300599805356713E-4</v>
          </cell>
          <cell r="G926">
            <v>1.0948535836054294E-3</v>
          </cell>
          <cell r="H926">
            <v>1.121403549016003E-3</v>
          </cell>
          <cell r="I926">
            <v>8.3154839661114496E-4</v>
          </cell>
        </row>
        <row r="927">
          <cell r="A927" t="str">
            <v>RHNM-SHELCBRA</v>
          </cell>
          <cell r="B927" t="str">
            <v>VAR_fin</v>
          </cell>
          <cell r="C927" t="str">
            <v>RHNM-SHAELCB</v>
          </cell>
          <cell r="E927">
            <v>0.15439104885867852</v>
          </cell>
          <cell r="F927">
            <v>7.0300599805356713E-4</v>
          </cell>
          <cell r="G927">
            <v>1.0948535836054294E-3</v>
          </cell>
          <cell r="H927">
            <v>1.121403549016003E-3</v>
          </cell>
          <cell r="I927">
            <v>8.3154839661114496E-4</v>
          </cell>
        </row>
        <row r="928">
          <cell r="A928" t="str">
            <v>RHNM-SHELCBRA</v>
          </cell>
          <cell r="B928" t="str">
            <v>VAR_ncap</v>
          </cell>
          <cell r="C928" t="str">
            <v>-</v>
          </cell>
          <cell r="E928">
            <v>1.21731439479612E-2</v>
          </cell>
        </row>
        <row r="929">
          <cell r="A929" t="str">
            <v>RHNM-SHELCBRA</v>
          </cell>
          <cell r="B929" t="str">
            <v>VAR_cap</v>
          </cell>
          <cell r="C929" t="str">
            <v>-</v>
          </cell>
          <cell r="E929">
            <v>1.21731439479612E-2</v>
          </cell>
          <cell r="F929">
            <v>1.1685161365304769E-2</v>
          </cell>
          <cell r="G929">
            <v>9.4782511137621699E-3</v>
          </cell>
          <cell r="H929">
            <v>8.1950080365657306E-4</v>
          </cell>
          <cell r="I929">
            <v>3.459595922705816E-4</v>
          </cell>
        </row>
        <row r="930">
          <cell r="A930" t="str">
            <v>RHNM-SHSTG-SOL</v>
          </cell>
          <cell r="B930" t="str">
            <v>VAR_fout</v>
          </cell>
          <cell r="C930" t="str">
            <v>RHNM-SHASOL</v>
          </cell>
          <cell r="E930">
            <v>2.01900354497325E-5</v>
          </cell>
          <cell r="F930">
            <v>3.6752386970899128E-5</v>
          </cell>
          <cell r="G930">
            <v>1.2365957575440943E-4</v>
          </cell>
          <cell r="H930">
            <v>1.5945341392477634E-4</v>
          </cell>
          <cell r="I930">
            <v>2.5096222017041345E-4</v>
          </cell>
        </row>
        <row r="931">
          <cell r="A931" t="str">
            <v>RHNM-SHSTG-SOL</v>
          </cell>
          <cell r="B931" t="str">
            <v>VAR_fin</v>
          </cell>
          <cell r="C931" t="str">
            <v>RHNM-SHASOL</v>
          </cell>
          <cell r="E931">
            <v>7.9812102075234509E-7</v>
          </cell>
          <cell r="F931">
            <v>2.8712539943337825E-5</v>
          </cell>
          <cell r="G931">
            <v>1.1917134790028355E-4</v>
          </cell>
          <cell r="H931">
            <v>1.5793598777795107E-4</v>
          </cell>
          <cell r="I931">
            <v>2.4962062956403397E-4</v>
          </cell>
        </row>
        <row r="932">
          <cell r="A932" t="str">
            <v>RHNM-SHSTG-SOL</v>
          </cell>
          <cell r="B932" t="str">
            <v>VAR_ncap</v>
          </cell>
          <cell r="C932" t="str">
            <v>-</v>
          </cell>
          <cell r="D932">
            <v>1.48534994217006E-4</v>
          </cell>
          <cell r="E932">
            <v>5.8043327571278603E-4</v>
          </cell>
          <cell r="F932">
            <v>2.39306678390458E-5</v>
          </cell>
          <cell r="G932">
            <v>1.06341960672005E-6</v>
          </cell>
          <cell r="H932">
            <v>8.0038079556346098E-5</v>
          </cell>
          <cell r="I932">
            <v>5.8619615806511499E-5</v>
          </cell>
        </row>
        <row r="933">
          <cell r="A933" t="str">
            <v>RHNM-SHSTG-SOL</v>
          </cell>
          <cell r="B933" t="str">
            <v>VAR_cap</v>
          </cell>
          <cell r="C933" t="str">
            <v>-</v>
          </cell>
          <cell r="D933">
            <v>1.48534994217006E-4</v>
          </cell>
          <cell r="E933">
            <v>7.2896826992979095E-4</v>
          </cell>
          <cell r="F933">
            <v>7.5289893776883698E-4</v>
          </cell>
          <cell r="G933">
            <v>7.5396235737555705E-4</v>
          </cell>
          <cell r="H933">
            <v>1.1303968124806799E-4</v>
          </cell>
          <cell r="I933">
            <v>1.28565288326447E-4</v>
          </cell>
        </row>
        <row r="934">
          <cell r="A934" t="str">
            <v>RHNS-SHELCHP</v>
          </cell>
          <cell r="B934" t="str">
            <v>VAR_fout</v>
          </cell>
          <cell r="C934" t="str">
            <v>RHNS-SHAELCH</v>
          </cell>
          <cell r="E934">
            <v>0.13963865414068041</v>
          </cell>
          <cell r="F934">
            <v>0.9741021491358749</v>
          </cell>
          <cell r="G934">
            <v>1.6653685432330085</v>
          </cell>
          <cell r="H934">
            <v>2.5040938565060302</v>
          </cell>
          <cell r="I934">
            <v>3.1050475172601417</v>
          </cell>
        </row>
        <row r="935">
          <cell r="A935" t="str">
            <v>RHNS-SHELCHP</v>
          </cell>
          <cell r="B935" t="str">
            <v>VAR_fin</v>
          </cell>
          <cell r="C935" t="str">
            <v>RHNS_ELC</v>
          </cell>
          <cell r="E935">
            <v>4.2921717461274746E-2</v>
          </cell>
          <cell r="F935">
            <v>0.28054503469933251</v>
          </cell>
          <cell r="G935">
            <v>0.45457548683929405</v>
          </cell>
          <cell r="H935">
            <v>0.63652880011758228</v>
          </cell>
          <cell r="I935">
            <v>0.7156345458693073</v>
          </cell>
        </row>
        <row r="936">
          <cell r="A936" t="str">
            <v>RHNS-SHELCHP</v>
          </cell>
          <cell r="B936" t="str">
            <v>VAR_fin</v>
          </cell>
          <cell r="C936" t="str">
            <v>RHNSELCHPC</v>
          </cell>
          <cell r="E936">
            <v>0.13963865414068041</v>
          </cell>
          <cell r="F936">
            <v>0.9741021491358749</v>
          </cell>
          <cell r="G936">
            <v>1.6653685432330085</v>
          </cell>
          <cell r="H936">
            <v>2.5040938565060302</v>
          </cell>
          <cell r="I936">
            <v>3.1050475172601417</v>
          </cell>
        </row>
        <row r="937">
          <cell r="A937" t="str">
            <v>RHNS-SHELCHP</v>
          </cell>
          <cell r="B937" t="str">
            <v>VAR_ncap</v>
          </cell>
          <cell r="C937" t="str">
            <v>-</v>
          </cell>
          <cell r="E937">
            <v>1.03298377585615E-2</v>
          </cell>
          <cell r="F937">
            <v>6.0729624420699298E-2</v>
          </cell>
          <cell r="G937">
            <v>5.0793946892599098E-2</v>
          </cell>
          <cell r="H937">
            <v>9.9250687362800002E-2</v>
          </cell>
          <cell r="I937">
            <v>0.13823376390252101</v>
          </cell>
        </row>
        <row r="938">
          <cell r="A938" t="str">
            <v>RHNS-SHELCHP</v>
          </cell>
          <cell r="B938" t="str">
            <v>VAR_cap</v>
          </cell>
          <cell r="C938" t="str">
            <v>-</v>
          </cell>
          <cell r="E938">
            <v>1.03298377585615E-2</v>
          </cell>
          <cell r="F938">
            <v>7.1059305288656907E-2</v>
          </cell>
          <cell r="G938">
            <v>0.12185305851789839</v>
          </cell>
          <cell r="H938">
            <v>0.18248918730289629</v>
          </cell>
          <cell r="I938">
            <v>0.22624841087128805</v>
          </cell>
        </row>
        <row r="939">
          <cell r="A939" t="str">
            <v>SCOM-SHBIOBR</v>
          </cell>
          <cell r="B939" t="str">
            <v>VAR_fout</v>
          </cell>
          <cell r="C939" t="str">
            <v>SCOM-SHBIO</v>
          </cell>
          <cell r="D939">
            <v>1.2230677221121578</v>
          </cell>
          <cell r="E939">
            <v>1.3407675809272852</v>
          </cell>
        </row>
        <row r="940">
          <cell r="A940" t="str">
            <v>SCOM-SHBIOBR</v>
          </cell>
          <cell r="B940" t="str">
            <v>VAR_fin</v>
          </cell>
          <cell r="C940" t="str">
            <v>SBIO</v>
          </cell>
          <cell r="D940">
            <v>1.4022789751343248</v>
          </cell>
          <cell r="E940">
            <v>1.537224926538963</v>
          </cell>
        </row>
        <row r="941">
          <cell r="A941" t="str">
            <v>SCOM-SHBIOBR</v>
          </cell>
          <cell r="B941" t="str">
            <v>VAR_ncap</v>
          </cell>
          <cell r="C941" t="str">
            <v>-</v>
          </cell>
          <cell r="D941">
            <v>8.4174876292713504E-7</v>
          </cell>
          <cell r="E941">
            <v>8.4919489189169104E-6</v>
          </cell>
          <cell r="F941">
            <v>8.4683600691486604E-7</v>
          </cell>
          <cell r="G941">
            <v>1.334440721596E-6</v>
          </cell>
          <cell r="H941">
            <v>5.97396647468229E-5</v>
          </cell>
          <cell r="I941">
            <v>3.73052012311975E-5</v>
          </cell>
        </row>
        <row r="942">
          <cell r="A942" t="str">
            <v>SCOM-SHBIOBR</v>
          </cell>
          <cell r="B942" t="str">
            <v>VAR_cap</v>
          </cell>
          <cell r="C942" t="str">
            <v>-</v>
          </cell>
          <cell r="D942">
            <v>0.10534176721743893</v>
          </cell>
          <cell r="E942">
            <v>0.10534899070668978</v>
          </cell>
          <cell r="F942">
            <v>0.10530586423995168</v>
          </cell>
          <cell r="G942">
            <v>0.10529464692361426</v>
          </cell>
          <cell r="H942">
            <v>1.1149157207548432E-4</v>
          </cell>
          <cell r="I942">
            <v>1.0139838982795039E-4</v>
          </cell>
        </row>
        <row r="943">
          <cell r="A943" t="str">
            <v>RHES-SHDEM</v>
          </cell>
          <cell r="B943" t="str">
            <v>VAR_fout</v>
          </cell>
          <cell r="C943" t="str">
            <v>RHES-SHD</v>
          </cell>
          <cell r="D943">
            <v>62.024837503894084</v>
          </cell>
          <cell r="E943">
            <v>67.815394581973521</v>
          </cell>
          <cell r="F943">
            <v>55.751022391544176</v>
          </cell>
          <cell r="G943">
            <v>54.03207160888546</v>
          </cell>
          <cell r="H943">
            <v>51.056242743457013</v>
          </cell>
          <cell r="I943">
            <v>49.342774880770683</v>
          </cell>
        </row>
        <row r="944">
          <cell r="A944" t="str">
            <v>RHES-SHDEM</v>
          </cell>
          <cell r="B944" t="str">
            <v>VAR_fin</v>
          </cell>
          <cell r="C944" t="str">
            <v>RHES-SHPLT</v>
          </cell>
          <cell r="D944">
            <v>1.2931219183449385</v>
          </cell>
          <cell r="E944">
            <v>1.4868210540651816</v>
          </cell>
          <cell r="F944">
            <v>2.4871901776409851E-2</v>
          </cell>
          <cell r="G944">
            <v>2.1550085719858714E-2</v>
          </cell>
          <cell r="H944">
            <v>1.3334724743643545E-2</v>
          </cell>
          <cell r="I944">
            <v>7.2089167201471035E-3</v>
          </cell>
        </row>
        <row r="945">
          <cell r="A945" t="str">
            <v>RHES-SHDEM</v>
          </cell>
          <cell r="B945" t="str">
            <v>VAR_fin</v>
          </cell>
          <cell r="C945" t="str">
            <v>RHES-SHLTHC-NGA</v>
          </cell>
          <cell r="D945">
            <v>3.4266246435035501E-2</v>
          </cell>
          <cell r="E945">
            <v>1.8328996382920265E-2</v>
          </cell>
          <cell r="F945">
            <v>1.004926884022111E-7</v>
          </cell>
          <cell r="G945">
            <v>1.01340882421351E-8</v>
          </cell>
          <cell r="H945">
            <v>3.4394358151595097E-7</v>
          </cell>
        </row>
        <row r="946">
          <cell r="A946" t="str">
            <v>RHES-SHDEM</v>
          </cell>
          <cell r="B946" t="str">
            <v>VAR_fin</v>
          </cell>
          <cell r="C946" t="str">
            <v>RHES-SHSOL</v>
          </cell>
          <cell r="D946">
            <v>0.37609691697629311</v>
          </cell>
          <cell r="E946">
            <v>0.43549346768852293</v>
          </cell>
          <cell r="F946">
            <v>2.1766568500461238E-2</v>
          </cell>
          <cell r="G946">
            <v>2.7254761473247704E-2</v>
          </cell>
          <cell r="H946">
            <v>3.0434843022351117E-2</v>
          </cell>
          <cell r="I946">
            <v>3.1432238540768993E-2</v>
          </cell>
        </row>
        <row r="947">
          <cell r="A947" t="str">
            <v>RHES-SHDEM</v>
          </cell>
          <cell r="B947" t="str">
            <v>VAR_fin</v>
          </cell>
          <cell r="C947" t="str">
            <v>RHES-SHLTHC-WOD</v>
          </cell>
          <cell r="D947">
            <v>1.6806923153095399E-3</v>
          </cell>
          <cell r="F947">
            <v>2.210028376144759E-7</v>
          </cell>
          <cell r="H947">
            <v>1.3115413047317075E-6</v>
          </cell>
        </row>
        <row r="948">
          <cell r="A948" t="str">
            <v>RHES-SHDEM</v>
          </cell>
          <cell r="B948" t="str">
            <v>VAR_fin</v>
          </cell>
          <cell r="C948" t="str">
            <v>RHES-SHNGA</v>
          </cell>
          <cell r="D948">
            <v>17.566156548475782</v>
          </cell>
          <cell r="E948">
            <v>18.743150825521685</v>
          </cell>
          <cell r="F948">
            <v>10.187305408274838</v>
          </cell>
          <cell r="G948">
            <v>6.6036535707600317</v>
          </cell>
          <cell r="H948">
            <v>1.5856770944759311</v>
          </cell>
          <cell r="I948">
            <v>0.72125252569996168</v>
          </cell>
        </row>
        <row r="949">
          <cell r="A949" t="str">
            <v>RHES-SHDEM</v>
          </cell>
          <cell r="B949" t="str">
            <v>VAR_fin</v>
          </cell>
          <cell r="C949" t="str">
            <v>RHES-SHNGAH</v>
          </cell>
          <cell r="D949">
            <v>8.9597152449989205E-4</v>
          </cell>
          <cell r="E949">
            <v>6.201066918320208E-5</v>
          </cell>
          <cell r="F949">
            <v>1.5303972945148909</v>
          </cell>
          <cell r="G949">
            <v>1.5504177725489572</v>
          </cell>
          <cell r="H949">
            <v>1.3929808052744381</v>
          </cell>
          <cell r="I949">
            <v>1.0507920011062899</v>
          </cell>
        </row>
        <row r="950">
          <cell r="A950" t="str">
            <v>RHES-SHDEM</v>
          </cell>
          <cell r="B950" t="str">
            <v>VAR_fin</v>
          </cell>
          <cell r="C950" t="str">
            <v>RHES-SHCOA</v>
          </cell>
          <cell r="D950">
            <v>7.449586672190163E-2</v>
          </cell>
          <cell r="E950">
            <v>7.195631725423747E-2</v>
          </cell>
          <cell r="F950">
            <v>2.068187902534516E-2</v>
          </cell>
          <cell r="H950">
            <v>4.0778321833375298E-8</v>
          </cell>
        </row>
        <row r="951">
          <cell r="A951" t="str">
            <v>RHES-SHDEM</v>
          </cell>
          <cell r="B951" t="str">
            <v>VAR_fin</v>
          </cell>
          <cell r="C951" t="str">
            <v>RHES-SHLFO</v>
          </cell>
          <cell r="D951">
            <v>21.67454201583687</v>
          </cell>
          <cell r="E951">
            <v>19.946126157762759</v>
          </cell>
          <cell r="F951">
            <v>13.690984900511683</v>
          </cell>
          <cell r="G951">
            <v>5.9590124690825403</v>
          </cell>
          <cell r="H951">
            <v>0.65195047374087689</v>
          </cell>
          <cell r="I951">
            <v>4.5105844189948674E-2</v>
          </cell>
        </row>
        <row r="952">
          <cell r="A952" t="str">
            <v>RHES-SHDEM</v>
          </cell>
          <cell r="B952" t="str">
            <v>VAR_fin</v>
          </cell>
          <cell r="C952" t="str">
            <v>RHES-SHCON</v>
          </cell>
          <cell r="D952">
            <v>4.7744562469361269E-2</v>
          </cell>
          <cell r="E952">
            <v>3.8113504462556693</v>
          </cell>
          <cell r="F952">
            <v>2.3179178921578756</v>
          </cell>
          <cell r="G952">
            <v>5.2901541628203876</v>
          </cell>
          <cell r="H952">
            <v>9.8162960940996076</v>
          </cell>
          <cell r="I952">
            <v>14.592359735499091</v>
          </cell>
        </row>
        <row r="953">
          <cell r="A953" t="str">
            <v>RHES-SHDEM</v>
          </cell>
          <cell r="B953" t="str">
            <v>VAR_fin</v>
          </cell>
          <cell r="C953" t="str">
            <v>RHES-SHWOD</v>
          </cell>
          <cell r="D953">
            <v>4.383366833087976</v>
          </cell>
          <cell r="E953">
            <v>5.0342053204206003</v>
          </cell>
          <cell r="F953">
            <v>5.117713437908197</v>
          </cell>
          <cell r="G953">
            <v>3.9355307700461402</v>
          </cell>
          <cell r="H953">
            <v>2.1676917383653005</v>
          </cell>
          <cell r="I953">
            <v>0.97976727330748126</v>
          </cell>
        </row>
        <row r="954">
          <cell r="A954" t="str">
            <v>RHES-SHDEM</v>
          </cell>
          <cell r="B954" t="str">
            <v>VAR_fin</v>
          </cell>
          <cell r="C954" t="str">
            <v>RHES-SHLTHD</v>
          </cell>
          <cell r="D954">
            <v>3.1422153458694186</v>
          </cell>
          <cell r="E954">
            <v>3.5037318446556434</v>
          </cell>
          <cell r="F954">
            <v>1.8633976110399566</v>
          </cell>
          <cell r="G954">
            <v>2.4074018489528117</v>
          </cell>
          <cell r="H954">
            <v>2.1982851561004182</v>
          </cell>
          <cell r="I954">
            <v>1.8522352131315281</v>
          </cell>
        </row>
        <row r="955">
          <cell r="A955" t="str">
            <v>RHES-SHDEM</v>
          </cell>
          <cell r="B955" t="str">
            <v>VAR_fin</v>
          </cell>
          <cell r="C955" t="str">
            <v>RHES-SHELCB</v>
          </cell>
          <cell r="D955">
            <v>4.2762150995697494</v>
          </cell>
          <cell r="E955">
            <v>4.4885771558672882</v>
          </cell>
          <cell r="F955">
            <v>0.77354805405638938</v>
          </cell>
          <cell r="G955">
            <v>0.12957380356329634</v>
          </cell>
          <cell r="H955">
            <v>1.4563485957183279E-3</v>
          </cell>
          <cell r="I955">
            <v>2.7566685569165348E-4</v>
          </cell>
        </row>
        <row r="956">
          <cell r="A956" t="str">
            <v>RHES-SHDEM</v>
          </cell>
          <cell r="B956" t="str">
            <v>VAR_fin</v>
          </cell>
          <cell r="C956" t="str">
            <v>RHES-SHELCH</v>
          </cell>
          <cell r="D956">
            <v>9.1536431733857366</v>
          </cell>
          <cell r="E956">
            <v>10.275843392277814</v>
          </cell>
          <cell r="F956">
            <v>20.202736338028693</v>
          </cell>
          <cell r="G956">
            <v>28.107762000708149</v>
          </cell>
          <cell r="H956">
            <v>33.198352244110545</v>
          </cell>
          <cell r="I956">
            <v>30.062517793148501</v>
          </cell>
        </row>
        <row r="957">
          <cell r="A957" t="str">
            <v>RHES-SHDEM</v>
          </cell>
          <cell r="B957" t="str">
            <v>VAR_fin</v>
          </cell>
          <cell r="C957" t="str">
            <v>RHES-SHNST</v>
          </cell>
          <cell r="D957">
            <v>6.2704010794237632E-4</v>
          </cell>
          <cell r="E957">
            <v>3.4990558680488057E-5</v>
          </cell>
          <cell r="F957">
            <v>3.6109386078414423E-7</v>
          </cell>
          <cell r="H957">
            <v>5.4828393933744096E-7</v>
          </cell>
        </row>
        <row r="958">
          <cell r="A958" t="str">
            <v>D-RHEM_LTH_CHPNGA</v>
          </cell>
          <cell r="B958" t="str">
            <v>VAR_fout</v>
          </cell>
          <cell r="C958" t="str">
            <v>RHSA_LTH</v>
          </cell>
          <cell r="D958">
            <v>2.0488432528878897E-3</v>
          </cell>
          <cell r="E958">
            <v>8.973444201760512E-6</v>
          </cell>
          <cell r="F958">
            <v>5.6781118534635572E-3</v>
          </cell>
          <cell r="G958">
            <v>1.8243504180515779E-3</v>
          </cell>
          <cell r="H958">
            <v>1.4880460774216113</v>
          </cell>
          <cell r="I958">
            <v>0.9864154393847484</v>
          </cell>
        </row>
        <row r="959">
          <cell r="A959" t="str">
            <v>D-RHEM_LTH_CHPNGA</v>
          </cell>
          <cell r="B959" t="str">
            <v>VAR_fout</v>
          </cell>
          <cell r="C959" t="str">
            <v>RHEM_LTH_CHPNGA_ON</v>
          </cell>
          <cell r="D959">
            <v>5.0562596722004895E-2</v>
          </cell>
          <cell r="E959">
            <v>2.6070893817217266E-3</v>
          </cell>
          <cell r="F959">
            <v>4.3057558996789278E-4</v>
          </cell>
          <cell r="G959">
            <v>1.1061362962395689E-3</v>
          </cell>
        </row>
        <row r="960">
          <cell r="A960" t="str">
            <v>D-RHEM_LTH_CHPNGA</v>
          </cell>
          <cell r="B960" t="str">
            <v>VAR_fout</v>
          </cell>
          <cell r="C960" t="str">
            <v>LTH</v>
          </cell>
          <cell r="F960">
            <v>7.8117736821913631E-7</v>
          </cell>
          <cell r="G960">
            <v>5.2102796244411946E-7</v>
          </cell>
          <cell r="H960">
            <v>3.1610523995817268E-3</v>
          </cell>
          <cell r="I960">
            <v>1.7753251209987099E-3</v>
          </cell>
        </row>
        <row r="961">
          <cell r="A961" t="str">
            <v>D-RHEM_LTH_CHPNGA</v>
          </cell>
          <cell r="B961" t="str">
            <v>VAR_fin</v>
          </cell>
          <cell r="C961" t="str">
            <v>RHEM_LTH_CHPNGA</v>
          </cell>
          <cell r="D961">
            <v>5.2611439974892767E-2</v>
          </cell>
          <cell r="E961">
            <v>2.6165020334383855E-3</v>
          </cell>
          <cell r="F961">
            <v>6.1106862390925736E-3</v>
          </cell>
          <cell r="G961">
            <v>2.9323978190853241E-3</v>
          </cell>
          <cell r="H961">
            <v>1.4912071298211935</v>
          </cell>
          <cell r="I961">
            <v>0.98819078170306118</v>
          </cell>
        </row>
        <row r="962">
          <cell r="A962" t="str">
            <v>RHEM-SHLTHCHPNGA</v>
          </cell>
          <cell r="B962" t="str">
            <v>VAR_fout</v>
          </cell>
          <cell r="C962" t="str">
            <v>RHEM-SHLTHC-NGA</v>
          </cell>
          <cell r="D962">
            <v>4.8238738577492606E-2</v>
          </cell>
          <cell r="E962">
            <v>2.4956056877618259E-3</v>
          </cell>
        </row>
        <row r="963">
          <cell r="A963" t="str">
            <v>RHEM-SHLTHCHPNGA</v>
          </cell>
          <cell r="B963" t="str">
            <v>VAR_fin</v>
          </cell>
          <cell r="C963" t="str">
            <v>RHEM_LTH_CHPNGA_ON</v>
          </cell>
          <cell r="D963">
            <v>4.8725998563123846E-2</v>
          </cell>
          <cell r="E963">
            <v>2.5208138260220457E-3</v>
          </cell>
        </row>
        <row r="964">
          <cell r="A964" t="str">
            <v>RHEM-SHLTHCHPNGA</v>
          </cell>
          <cell r="B964" t="str">
            <v>VAR_fin</v>
          </cell>
          <cell r="C964" t="str">
            <v>RHEMLTHCHPC</v>
          </cell>
          <cell r="D964">
            <v>4.8238738577492606E-2</v>
          </cell>
          <cell r="E964">
            <v>2.4956056877618259E-3</v>
          </cell>
        </row>
        <row r="965">
          <cell r="A965" t="str">
            <v>RHEM-SHLTHCHPNGA</v>
          </cell>
          <cell r="B965" t="str">
            <v>VAR_ncap</v>
          </cell>
          <cell r="C965" t="str">
            <v>-</v>
          </cell>
          <cell r="D965">
            <v>3.1262691877248198E-6</v>
          </cell>
          <cell r="E965">
            <v>1.6774272230631E-4</v>
          </cell>
          <cell r="F965">
            <v>5.14667599017057E-4</v>
          </cell>
          <cell r="G965">
            <v>4.2791880044249501E-4</v>
          </cell>
          <cell r="H965">
            <v>1.8443243203036901E-2</v>
          </cell>
          <cell r="I965">
            <v>1.2497846022782999E-2</v>
          </cell>
        </row>
        <row r="966">
          <cell r="A966" t="str">
            <v>RHEM-SHLTHCHPNGA</v>
          </cell>
          <cell r="B966" t="str">
            <v>VAR_cap</v>
          </cell>
          <cell r="C966" t="str">
            <v>-</v>
          </cell>
          <cell r="D966">
            <v>6.8013272677364548E-3</v>
          </cell>
          <cell r="E966">
            <v>2.9491642647545401E-4</v>
          </cell>
          <cell r="F966">
            <v>7.0178852516452131E-4</v>
          </cell>
          <cell r="G966">
            <v>7.7144116018112909E-4</v>
          </cell>
          <cell r="H966">
            <v>4.0501729942609019E-2</v>
          </cell>
          <cell r="I966">
            <v>2.4581580657480302E-2</v>
          </cell>
        </row>
        <row r="967">
          <cell r="A967" t="str">
            <v>D-RHES_SOLELC</v>
          </cell>
          <cell r="B967" t="str">
            <v>VAR_fout</v>
          </cell>
          <cell r="C967" t="str">
            <v>RHES_ELC</v>
          </cell>
          <cell r="D967">
            <v>1.7308079583183509</v>
          </cell>
          <cell r="E967">
            <v>1.4826026178274507</v>
          </cell>
          <cell r="F967">
            <v>3.0066565688617124</v>
          </cell>
          <cell r="G967">
            <v>7.4805503309593213</v>
          </cell>
          <cell r="H967">
            <v>4.7242072658251848</v>
          </cell>
          <cell r="I967">
            <v>0.69363647910761017</v>
          </cell>
        </row>
        <row r="968">
          <cell r="A968" t="str">
            <v>D-RHES_SOLELC</v>
          </cell>
          <cell r="B968" t="str">
            <v>VAR_fout</v>
          </cell>
          <cell r="C968" t="str">
            <v>ELC5</v>
          </cell>
          <cell r="D968">
            <v>0.40413113041631116</v>
          </cell>
          <cell r="E968">
            <v>1.9080638924081967</v>
          </cell>
          <cell r="F968">
            <v>5.0358651190736214</v>
          </cell>
          <cell r="G968">
            <v>6.6005781375481494</v>
          </cell>
          <cell r="H968">
            <v>6.5609869201887703</v>
          </cell>
          <cell r="I968">
            <v>0.68655249539736785</v>
          </cell>
        </row>
        <row r="969">
          <cell r="A969" t="str">
            <v>D-RHES_SOLELC</v>
          </cell>
          <cell r="B969" t="str">
            <v>VAR_fin</v>
          </cell>
          <cell r="C969" t="str">
            <v>RHES_SOL_ELC</v>
          </cell>
          <cell r="D969">
            <v>2.1349390887346629</v>
          </cell>
          <cell r="E969">
            <v>3.3906653158038402</v>
          </cell>
          <cell r="F969">
            <v>8.042518219954049</v>
          </cell>
          <cell r="G969">
            <v>14.081124364741443</v>
          </cell>
          <cell r="H969">
            <v>11.285188775088718</v>
          </cell>
          <cell r="I969">
            <v>1.3801836922928117</v>
          </cell>
        </row>
        <row r="970">
          <cell r="A970" t="str">
            <v>RHNM-SHCONBR1</v>
          </cell>
          <cell r="B970" t="str">
            <v>VAR_ncap</v>
          </cell>
          <cell r="C970" t="str">
            <v>-</v>
          </cell>
          <cell r="F970">
            <v>375</v>
          </cell>
          <cell r="G970">
            <v>5.3546708989193998</v>
          </cell>
        </row>
        <row r="971">
          <cell r="A971" t="str">
            <v>RHNM-SHCONBR1</v>
          </cell>
          <cell r="B971" t="str">
            <v>VAR_cap</v>
          </cell>
          <cell r="C971" t="str">
            <v>-</v>
          </cell>
          <cell r="F971">
            <v>375</v>
          </cell>
          <cell r="G971">
            <v>13.250580098571959</v>
          </cell>
          <cell r="H971">
            <v>7.1399867705630413</v>
          </cell>
          <cell r="I971">
            <v>3.2078828560950114</v>
          </cell>
        </row>
        <row r="972">
          <cell r="A972" t="str">
            <v>D-DH2</v>
          </cell>
          <cell r="B972" t="str">
            <v>VAR_fout</v>
          </cell>
          <cell r="C972" t="str">
            <v>H2</v>
          </cell>
          <cell r="G972">
            <v>3.3324472152107134</v>
          </cell>
          <cell r="H972">
            <v>3.5378734027833776</v>
          </cell>
          <cell r="I972">
            <v>3.7432902751045249</v>
          </cell>
        </row>
        <row r="973">
          <cell r="A973" t="str">
            <v>D-DH2</v>
          </cell>
          <cell r="B973" t="str">
            <v>VAR_fin</v>
          </cell>
          <cell r="C973" t="str">
            <v>H2_E</v>
          </cell>
          <cell r="G973">
            <v>3.3661082981926405</v>
          </cell>
          <cell r="H973">
            <v>3.5736094977609887</v>
          </cell>
          <cell r="I973">
            <v>3.7811012879843662</v>
          </cell>
        </row>
        <row r="974">
          <cell r="A974" t="str">
            <v>D-DH2</v>
          </cell>
          <cell r="B974" t="str">
            <v>VAR_ncap</v>
          </cell>
          <cell r="C974" t="str">
            <v>-</v>
          </cell>
          <cell r="G974">
            <v>0.44752434871633301</v>
          </cell>
          <cell r="H974">
            <v>1.3815986344100899E-2</v>
          </cell>
          <cell r="I974">
            <v>2.7578831990572501E-2</v>
          </cell>
        </row>
        <row r="975">
          <cell r="A975" t="str">
            <v>D-DH2</v>
          </cell>
          <cell r="B975" t="str">
            <v>VAR_cap</v>
          </cell>
          <cell r="C975" t="str">
            <v>-</v>
          </cell>
          <cell r="G975">
            <v>0.44752434871633301</v>
          </cell>
          <cell r="H975">
            <v>0.47513758708154602</v>
          </cell>
          <cell r="I975">
            <v>0.50271641907211895</v>
          </cell>
        </row>
        <row r="976">
          <cell r="A976" t="str">
            <v>ITOT-SWHHFOBR</v>
          </cell>
          <cell r="B976" t="str">
            <v>VAR_fout</v>
          </cell>
          <cell r="C976" t="str">
            <v>ITOT-SWH</v>
          </cell>
          <cell r="D976">
            <v>1.8458226532012285</v>
          </cell>
          <cell r="E976">
            <v>7.2185077680990135E-4</v>
          </cell>
          <cell r="F976">
            <v>9.5281297272733925E-4</v>
          </cell>
          <cell r="G976">
            <v>1.624107112852714E-3</v>
          </cell>
          <cell r="H976">
            <v>2.4961313651460988E-4</v>
          </cell>
        </row>
        <row r="977">
          <cell r="A977" t="str">
            <v>ITOT-SWHHFOBR</v>
          </cell>
          <cell r="B977" t="str">
            <v>VAR_fout</v>
          </cell>
          <cell r="C977" t="str">
            <v>CO2_I</v>
          </cell>
          <cell r="D977">
            <v>210.21015980254299</v>
          </cell>
          <cell r="E977">
            <v>8.1853338950537299E-2</v>
          </cell>
          <cell r="F977">
            <v>0.107349390251494</v>
          </cell>
          <cell r="G977">
            <v>0.18104415155940501</v>
          </cell>
          <cell r="H977">
            <v>2.7248217631224501E-2</v>
          </cell>
        </row>
        <row r="978">
          <cell r="A978" t="str">
            <v>ITOT-SWHHFOBR</v>
          </cell>
          <cell r="B978" t="str">
            <v>VAR_fin</v>
          </cell>
          <cell r="C978" t="str">
            <v>IHFO</v>
          </cell>
          <cell r="D978">
            <v>2.7300020753577039</v>
          </cell>
          <cell r="E978">
            <v>1.0630303759810041E-3</v>
          </cell>
          <cell r="F978">
            <v>1.3941479253440729E-3</v>
          </cell>
          <cell r="G978">
            <v>2.351222747524737E-3</v>
          </cell>
          <cell r="H978">
            <v>3.5387295624966883E-4</v>
          </cell>
        </row>
        <row r="979">
          <cell r="A979" t="str">
            <v>ITOT-SWHHFOBR</v>
          </cell>
          <cell r="B979" t="str">
            <v>VAR_ncap</v>
          </cell>
          <cell r="C979" t="str">
            <v>-</v>
          </cell>
          <cell r="D979">
            <v>4.3239091028908998E-4</v>
          </cell>
          <cell r="E979">
            <v>1.6348611550407201E-5</v>
          </cell>
          <cell r="F979">
            <v>3.6627329824616702E-5</v>
          </cell>
          <cell r="G979">
            <v>7.9251523881383103E-5</v>
          </cell>
          <cell r="H979">
            <v>1.2504864256819799E-5</v>
          </cell>
          <cell r="I979">
            <v>8.3041662756536505E-7</v>
          </cell>
        </row>
        <row r="980">
          <cell r="A980" t="str">
            <v>ITOT-SWHHFOBR</v>
          </cell>
          <cell r="B980" t="str">
            <v>VAR_cap</v>
          </cell>
          <cell r="C980" t="str">
            <v>-</v>
          </cell>
          <cell r="D980">
            <v>0.10114939091028909</v>
          </cell>
          <cell r="E980">
            <v>6.8602067341494433E-5</v>
          </cell>
          <cell r="F980">
            <v>9.0437131270118543E-5</v>
          </cell>
          <cell r="G980">
            <v>1.5320371217450446E-4</v>
          </cell>
          <cell r="H980">
            <v>2.3658001261580598E-5</v>
          </cell>
          <cell r="I980">
            <v>-1.2782233620801985E-6</v>
          </cell>
        </row>
        <row r="981">
          <cell r="A981" t="str">
            <v>RHNM-SHCONBR2</v>
          </cell>
          <cell r="B981" t="str">
            <v>VAR_ncap</v>
          </cell>
          <cell r="C981" t="str">
            <v>-</v>
          </cell>
          <cell r="F981">
            <v>375</v>
          </cell>
          <cell r="G981">
            <v>5.3546708989194798</v>
          </cell>
        </row>
        <row r="982">
          <cell r="A982" t="str">
            <v>RHNM-SHCONBR2</v>
          </cell>
          <cell r="B982" t="str">
            <v>VAR_cap</v>
          </cell>
          <cell r="C982" t="str">
            <v>-</v>
          </cell>
          <cell r="F982">
            <v>375</v>
          </cell>
          <cell r="G982">
            <v>13.250580098570993</v>
          </cell>
          <cell r="H982">
            <v>7.1399867705630413</v>
          </cell>
          <cell r="I982">
            <v>3.2078828560939883</v>
          </cell>
        </row>
        <row r="983">
          <cell r="A983" t="str">
            <v>RHSA-WHSTG-ELCHP</v>
          </cell>
          <cell r="B983" t="str">
            <v>VAR_fout</v>
          </cell>
          <cell r="C983" t="str">
            <v>RHSA-WHAELCH</v>
          </cell>
          <cell r="D983">
            <v>4.9939046563394378E-7</v>
          </cell>
          <cell r="E983">
            <v>6.2931680549094964E-7</v>
          </cell>
          <cell r="F983">
            <v>0.11096168833377321</v>
          </cell>
          <cell r="G983">
            <v>0.17543526147449356</v>
          </cell>
          <cell r="H983">
            <v>0.4543792085407799</v>
          </cell>
          <cell r="I983">
            <v>0.48178223481410332</v>
          </cell>
        </row>
        <row r="984">
          <cell r="A984" t="str">
            <v>RHSA-WHSTG-ELCHP</v>
          </cell>
          <cell r="B984" t="str">
            <v>VAR_fin</v>
          </cell>
          <cell r="C984" t="str">
            <v>RHSA-WHAELCH</v>
          </cell>
          <cell r="D984">
            <v>7.0865261169551306E-6</v>
          </cell>
          <cell r="E984">
            <v>2.3171219590278902E-6</v>
          </cell>
          <cell r="F984">
            <v>0.11096362447614999</v>
          </cell>
          <cell r="G984">
            <v>0.17543782573252201</v>
          </cell>
          <cell r="H984">
            <v>0.45438583495238155</v>
          </cell>
          <cell r="I984">
            <v>0.48179318961346373</v>
          </cell>
        </row>
        <row r="985">
          <cell r="A985" t="str">
            <v>RHSA-WHSTG-ELCHP</v>
          </cell>
          <cell r="B985" t="str">
            <v>VAR_ncap</v>
          </cell>
          <cell r="C985" t="str">
            <v>-</v>
          </cell>
          <cell r="D985">
            <v>8.5239878045980308E-3</v>
          </cell>
          <cell r="E985">
            <v>4.9687829096583397E-2</v>
          </cell>
          <cell r="F985">
            <v>2.0981025293923299E-2</v>
          </cell>
          <cell r="G985">
            <v>7.1374802142344096E-2</v>
          </cell>
          <cell r="H985">
            <v>0.11907526534622399</v>
          </cell>
          <cell r="I985">
            <v>0.163552606251403</v>
          </cell>
        </row>
        <row r="986">
          <cell r="A986" t="str">
            <v>RHSA-WHSTG-ELCHP</v>
          </cell>
          <cell r="B986" t="str">
            <v>VAR_cap</v>
          </cell>
          <cell r="C986" t="str">
            <v>-</v>
          </cell>
          <cell r="D986">
            <v>8.52522733400112E-3</v>
          </cell>
          <cell r="E986">
            <v>5.8148457896827335E-2</v>
          </cell>
          <cell r="F986">
            <v>7.9100116895907693E-2</v>
          </cell>
          <cell r="G986">
            <v>0.15044194788571585</v>
          </cell>
          <cell r="H986">
            <v>0.24837316490388284</v>
          </cell>
          <cell r="I986">
            <v>0.28244696369592975</v>
          </cell>
        </row>
        <row r="987">
          <cell r="A987" t="str">
            <v>RHNM-SHCONBR3</v>
          </cell>
          <cell r="B987" t="str">
            <v>VAR_ncap</v>
          </cell>
          <cell r="C987" t="str">
            <v>-</v>
          </cell>
          <cell r="F987">
            <v>375</v>
          </cell>
          <cell r="G987">
            <v>5.3546708989193998</v>
          </cell>
        </row>
        <row r="988">
          <cell r="A988" t="str">
            <v>RHNM-SHCONBR3</v>
          </cell>
          <cell r="B988" t="str">
            <v>VAR_cap</v>
          </cell>
          <cell r="C988" t="str">
            <v>-</v>
          </cell>
          <cell r="F988">
            <v>375</v>
          </cell>
          <cell r="G988">
            <v>13.250580098571959</v>
          </cell>
          <cell r="H988">
            <v>7.1399867705630413</v>
          </cell>
          <cell r="I988">
            <v>3.2078828560950114</v>
          </cell>
        </row>
        <row r="989">
          <cell r="A989" t="str">
            <v>RES-ELCSPECADV</v>
          </cell>
          <cell r="B989" t="str">
            <v>VAR_fout</v>
          </cell>
          <cell r="C989" t="str">
            <v>RHSA-ELS</v>
          </cell>
          <cell r="F989">
            <v>4.9660333280883968</v>
          </cell>
          <cell r="G989">
            <v>14.878287460265957</v>
          </cell>
          <cell r="H989">
            <v>27.19562611774456</v>
          </cell>
          <cell r="I989">
            <v>39.007748514746943</v>
          </cell>
        </row>
        <row r="990">
          <cell r="A990" t="str">
            <v>RES-ELCSPECADV</v>
          </cell>
          <cell r="B990" t="str">
            <v>VAR_fin</v>
          </cell>
          <cell r="C990" t="str">
            <v>RHSA_ELC</v>
          </cell>
          <cell r="F990">
            <v>3.310688885392266</v>
          </cell>
          <cell r="G990">
            <v>9.9188583068439726</v>
          </cell>
          <cell r="H990">
            <v>18.130417411829686</v>
          </cell>
          <cell r="I990">
            <v>26.005165676497978</v>
          </cell>
        </row>
        <row r="991">
          <cell r="A991" t="str">
            <v>RES-ELCSPECADV</v>
          </cell>
          <cell r="B991" t="str">
            <v>VAR_ncap</v>
          </cell>
          <cell r="C991" t="str">
            <v>-</v>
          </cell>
          <cell r="F991">
            <v>0.52490615540208496</v>
          </cell>
          <cell r="G991">
            <v>1.04771842479723</v>
          </cell>
          <cell r="H991">
            <v>0.65882187435047002</v>
          </cell>
          <cell r="I991">
            <v>1.91514491857473</v>
          </cell>
        </row>
        <row r="992">
          <cell r="A992" t="str">
            <v>RES-ELCSPECADV</v>
          </cell>
          <cell r="B992" t="str">
            <v>VAR_cap</v>
          </cell>
          <cell r="C992" t="str">
            <v>-</v>
          </cell>
          <cell r="F992">
            <v>0.52490615540208496</v>
          </cell>
          <cell r="G992">
            <v>1.5726245514192556</v>
          </cell>
          <cell r="H992">
            <v>2.8745584642112201</v>
          </cell>
          <cell r="I992">
            <v>4.1230918503319121</v>
          </cell>
        </row>
        <row r="993">
          <cell r="A993" t="str">
            <v>ITOT-SWHSTG-ELCHP</v>
          </cell>
          <cell r="B993" t="str">
            <v>VAR_fout</v>
          </cell>
          <cell r="C993" t="str">
            <v>ITOT-SWHAELCH</v>
          </cell>
          <cell r="D993">
            <v>3.8076219029733389E-5</v>
          </cell>
          <cell r="E993">
            <v>1.8906054885613752E-5</v>
          </cell>
          <cell r="F993">
            <v>1.7647547577730482E-3</v>
          </cell>
          <cell r="G993">
            <v>8.4801316087552915E-4</v>
          </cell>
          <cell r="H993">
            <v>2.2704533223496734E-3</v>
          </cell>
          <cell r="I993">
            <v>3.5411718546112095E-2</v>
          </cell>
        </row>
        <row r="994">
          <cell r="A994" t="str">
            <v>ITOT-SWHSTG-ELCHP</v>
          </cell>
          <cell r="B994" t="str">
            <v>VAR_fin</v>
          </cell>
          <cell r="C994" t="str">
            <v>ITOT-SWHAELCH</v>
          </cell>
          <cell r="D994">
            <v>5.3358201529584226E-5</v>
          </cell>
          <cell r="E994">
            <v>2.5342901856482359E-5</v>
          </cell>
          <cell r="F994">
            <v>2.2955991708974778E-3</v>
          </cell>
          <cell r="G994">
            <v>1.0808239505329771E-3</v>
          </cell>
          <cell r="H994">
            <v>2.6963570380053557E-3</v>
          </cell>
          <cell r="I994">
            <v>3.936660722926582E-2</v>
          </cell>
        </row>
        <row r="995">
          <cell r="A995" t="str">
            <v>ITOT-SWHSTG-ELCHP</v>
          </cell>
          <cell r="B995" t="str">
            <v>VAR_ncap</v>
          </cell>
          <cell r="C995" t="str">
            <v>-</v>
          </cell>
          <cell r="D995">
            <v>1.72817264340125E-2</v>
          </cell>
          <cell r="E995">
            <v>8.4878017923497499E-4</v>
          </cell>
          <cell r="F995">
            <v>2.77541492547877E-2</v>
          </cell>
          <cell r="G995">
            <v>2.8297911754808999E-2</v>
          </cell>
          <cell r="H995">
            <v>3.6550971975017402E-2</v>
          </cell>
          <cell r="I995">
            <v>4.2133591977174999E-2</v>
          </cell>
        </row>
        <row r="996">
          <cell r="A996" t="str">
            <v>ITOT-SWHSTG-ELCHP</v>
          </cell>
          <cell r="B996" t="str">
            <v>VAR_cap</v>
          </cell>
          <cell r="C996" t="str">
            <v>-</v>
          </cell>
          <cell r="D996">
            <v>1.72817264340125E-2</v>
          </cell>
          <cell r="E996">
            <v>1.7970210277064406E-2</v>
          </cell>
          <cell r="F996">
            <v>4.5689946632309957E-2</v>
          </cell>
          <cell r="G996">
            <v>7.3971595851248767E-2</v>
          </cell>
          <cell r="H996">
            <v>7.4498876390618723E-2</v>
          </cell>
          <cell r="I996">
            <v>7.4432178710717736E-2</v>
          </cell>
        </row>
        <row r="997">
          <cell r="A997" t="str">
            <v>D-RHNS_LTH_CHPWOD</v>
          </cell>
          <cell r="B997" t="str">
            <v>VAR_fout</v>
          </cell>
          <cell r="C997" t="str">
            <v>RHNS_LTH_CHPWOD_ON</v>
          </cell>
          <cell r="D997">
            <v>1.0139741992884585E-5</v>
          </cell>
          <cell r="E997">
            <v>7.3798682186242404E-6</v>
          </cell>
          <cell r="F997">
            <v>9.3021589413540865E-7</v>
          </cell>
          <cell r="G997">
            <v>4.6851509121621776E-4</v>
          </cell>
          <cell r="H997">
            <v>8.0175292344419511E-4</v>
          </cell>
        </row>
        <row r="998">
          <cell r="A998" t="str">
            <v>D-RHNS_LTH_CHPWOD</v>
          </cell>
          <cell r="B998" t="str">
            <v>VAR_fout</v>
          </cell>
          <cell r="C998" t="str">
            <v>RHSA_LTH</v>
          </cell>
          <cell r="D998">
            <v>6.8152040998961729E-6</v>
          </cell>
          <cell r="E998">
            <v>1.3908166002160676E-5</v>
          </cell>
          <cell r="F998">
            <v>7.4446822522070001E-6</v>
          </cell>
          <cell r="G998">
            <v>2.3811736337962216E-3</v>
          </cell>
          <cell r="H998">
            <v>9.6905177074344158E-4</v>
          </cell>
          <cell r="I998">
            <v>1.118108269658704E-3</v>
          </cell>
        </row>
        <row r="999">
          <cell r="A999" t="str">
            <v>D-RHNS_LTH_CHPWOD</v>
          </cell>
          <cell r="B999" t="str">
            <v>VAR_fout</v>
          </cell>
          <cell r="C999" t="str">
            <v>LTH</v>
          </cell>
          <cell r="G999">
            <v>5.1355803668367256E-7</v>
          </cell>
          <cell r="H999">
            <v>9.1485537355645101E-7</v>
          </cell>
          <cell r="I999">
            <v>8.1570507009010318E-7</v>
          </cell>
        </row>
        <row r="1000">
          <cell r="A1000" t="str">
            <v>D-RHNS_LTH_CHPWOD</v>
          </cell>
          <cell r="B1000" t="str">
            <v>VAR_fin</v>
          </cell>
          <cell r="C1000" t="str">
            <v>RHNS_LTH_CHPWOD</v>
          </cell>
          <cell r="D1000">
            <v>1.6954946092780762E-5</v>
          </cell>
          <cell r="E1000">
            <v>2.16903471845137E-5</v>
          </cell>
          <cell r="F1000">
            <v>8.9117717764525333E-6</v>
          </cell>
          <cell r="G1000">
            <v>2.8515006863075792E-3</v>
          </cell>
          <cell r="H1000">
            <v>1.773182142114926E-3</v>
          </cell>
          <cell r="I1000">
            <v>1.1203071847208439E-3</v>
          </cell>
        </row>
        <row r="1001">
          <cell r="A1001" t="str">
            <v>RHNM-SHCONBR4</v>
          </cell>
          <cell r="B1001" t="str">
            <v>VAR_ncap</v>
          </cell>
          <cell r="C1001" t="str">
            <v>-</v>
          </cell>
          <cell r="F1001">
            <v>375</v>
          </cell>
          <cell r="G1001">
            <v>5.3546708989194798</v>
          </cell>
        </row>
        <row r="1002">
          <cell r="A1002" t="str">
            <v>RHNM-SHCONBR4</v>
          </cell>
          <cell r="B1002" t="str">
            <v>VAR_cap</v>
          </cell>
          <cell r="C1002" t="str">
            <v>-</v>
          </cell>
          <cell r="F1002">
            <v>375</v>
          </cell>
          <cell r="G1002">
            <v>13.250580098570993</v>
          </cell>
          <cell r="H1002">
            <v>7.1399867705630413</v>
          </cell>
          <cell r="I1002">
            <v>3.2078828560939883</v>
          </cell>
        </row>
        <row r="1003">
          <cell r="A1003" t="str">
            <v>D-SBIO</v>
          </cell>
          <cell r="B1003" t="str">
            <v>VAR_fout</v>
          </cell>
          <cell r="C1003" t="str">
            <v>SBIO</v>
          </cell>
          <cell r="D1003">
            <v>4.0476759174883918</v>
          </cell>
          <cell r="E1003">
            <v>4.5837895620774036</v>
          </cell>
          <cell r="F1003">
            <v>3.0436366034191216</v>
          </cell>
          <cell r="G1003">
            <v>3.032271519686415</v>
          </cell>
          <cell r="H1003">
            <v>2.9504522513756744</v>
          </cell>
          <cell r="I1003">
            <v>2.8719166368287428</v>
          </cell>
        </row>
        <row r="1004">
          <cell r="A1004" t="str">
            <v>D-SBIO</v>
          </cell>
          <cell r="B1004" t="str">
            <v>VAR_fin</v>
          </cell>
          <cell r="C1004" t="str">
            <v>BIO</v>
          </cell>
          <cell r="D1004">
            <v>4.0476759174883918</v>
          </cell>
          <cell r="E1004">
            <v>4.5837895620774036</v>
          </cell>
          <cell r="F1004">
            <v>3.0436366034191216</v>
          </cell>
          <cell r="G1004">
            <v>3.032271519686415</v>
          </cell>
          <cell r="H1004">
            <v>2.9504522513756744</v>
          </cell>
          <cell r="I1004">
            <v>2.8719166368287428</v>
          </cell>
        </row>
        <row r="1005">
          <cell r="A1005" t="str">
            <v>RHEM-SHDEM</v>
          </cell>
          <cell r="B1005" t="str">
            <v>VAR_fout</v>
          </cell>
          <cell r="C1005" t="str">
            <v>RHEM-SHD</v>
          </cell>
          <cell r="D1005">
            <v>66.986774791699034</v>
          </cell>
          <cell r="E1005">
            <v>66.782026660973088</v>
          </cell>
          <cell r="F1005">
            <v>65.246682869065111</v>
          </cell>
          <cell r="G1005">
            <v>62.805592683727156</v>
          </cell>
          <cell r="H1005">
            <v>57.527305238178833</v>
          </cell>
          <cell r="I1005">
            <v>54.458499933258011</v>
          </cell>
        </row>
        <row r="1006">
          <cell r="A1006" t="str">
            <v>RHEM-SHDEM</v>
          </cell>
          <cell r="B1006" t="str">
            <v>VAR_fin</v>
          </cell>
          <cell r="C1006" t="str">
            <v>RHEM-SHNST</v>
          </cell>
          <cell r="D1006">
            <v>2.6577448531896506E-4</v>
          </cell>
          <cell r="F1006">
            <v>1.2134608015149078E-6</v>
          </cell>
          <cell r="G1006">
            <v>5.2158309502618962E-7</v>
          </cell>
          <cell r="H1006">
            <v>5.677326442430015E-7</v>
          </cell>
        </row>
        <row r="1007">
          <cell r="A1007" t="str">
            <v>RHEM-SHDEM</v>
          </cell>
          <cell r="B1007" t="str">
            <v>VAR_fin</v>
          </cell>
          <cell r="C1007" t="str">
            <v>RHEM-SHPLT</v>
          </cell>
          <cell r="D1007">
            <v>1.4006846745211516</v>
          </cell>
          <cell r="E1007">
            <v>1.6077194989337775</v>
          </cell>
          <cell r="F1007">
            <v>0.16102980695636868</v>
          </cell>
          <cell r="G1007">
            <v>0.13918410897825162</v>
          </cell>
          <cell r="H1007">
            <v>8.1300530081018063E-2</v>
          </cell>
          <cell r="I1007">
            <v>2.9767307458719677E-2</v>
          </cell>
        </row>
        <row r="1008">
          <cell r="A1008" t="str">
            <v>RHEM-SHDEM</v>
          </cell>
          <cell r="B1008" t="str">
            <v>VAR_fin</v>
          </cell>
          <cell r="C1008" t="str">
            <v>RHEM-SHNGAH</v>
          </cell>
          <cell r="D1008">
            <v>1.605688343724755E-4</v>
          </cell>
          <cell r="E1008">
            <v>7.0309488975331261E-5</v>
          </cell>
          <cell r="F1008">
            <v>1.9436475754293174</v>
          </cell>
          <cell r="G1008">
            <v>3.9413117981867125</v>
          </cell>
          <cell r="H1008">
            <v>5.6009269798528187</v>
          </cell>
          <cell r="I1008">
            <v>4.1593135294169734</v>
          </cell>
        </row>
        <row r="1009">
          <cell r="A1009" t="str">
            <v>RHEM-SHDEM</v>
          </cell>
          <cell r="B1009" t="str">
            <v>VAR_fin</v>
          </cell>
          <cell r="C1009" t="str">
            <v>RHEM-SHLTHC-WOD</v>
          </cell>
          <cell r="D1009">
            <v>2.4297225975682991E-4</v>
          </cell>
          <cell r="E1009">
            <v>4.2669679884632359E-5</v>
          </cell>
          <cell r="F1009">
            <v>8.9004087147926467E-7</v>
          </cell>
          <cell r="G1009">
            <v>1.0954473088598854E-6</v>
          </cell>
          <cell r="H1009">
            <v>3.3119045975920456E-6</v>
          </cell>
        </row>
        <row r="1010">
          <cell r="A1010" t="str">
            <v>RHEM-SHDEM</v>
          </cell>
          <cell r="B1010" t="str">
            <v>VAR_fin</v>
          </cell>
          <cell r="C1010" t="str">
            <v>RHEM-SHSOL</v>
          </cell>
          <cell r="D1010">
            <v>0.40826071647053763</v>
          </cell>
          <cell r="E1010">
            <v>0.470909163907482</v>
          </cell>
          <cell r="F1010">
            <v>9.9194168042038271E-3</v>
          </cell>
          <cell r="G1010">
            <v>1.3036214310170192E-2</v>
          </cell>
          <cell r="H1010">
            <v>1.4312058998503867E-2</v>
          </cell>
          <cell r="I1010">
            <v>1.381240042690938E-2</v>
          </cell>
        </row>
        <row r="1011">
          <cell r="A1011" t="str">
            <v>RHEM-SHDEM</v>
          </cell>
          <cell r="B1011" t="str">
            <v>VAR_fin</v>
          </cell>
          <cell r="C1011" t="str">
            <v>RHEM-SHLTHD</v>
          </cell>
          <cell r="D1011">
            <v>3.3523546103552633</v>
          </cell>
          <cell r="E1011">
            <v>3.7886471061163967</v>
          </cell>
          <cell r="F1011">
            <v>4.9923106902063017</v>
          </cell>
          <cell r="G1011">
            <v>5.5849584432902448</v>
          </cell>
          <cell r="H1011">
            <v>4.9860602997367698</v>
          </cell>
          <cell r="I1011">
            <v>4.0457072087066486</v>
          </cell>
        </row>
        <row r="1012">
          <cell r="A1012" t="str">
            <v>RHEM-SHDEM</v>
          </cell>
          <cell r="B1012" t="str">
            <v>VAR_fin</v>
          </cell>
          <cell r="C1012" t="str">
            <v>RHEM-SHNGA</v>
          </cell>
          <cell r="D1012">
            <v>18.998691695400513</v>
          </cell>
          <cell r="E1012">
            <v>19.277464428073831</v>
          </cell>
          <cell r="F1012">
            <v>20.497184505183597</v>
          </cell>
          <cell r="G1012">
            <v>13.350520916248236</v>
          </cell>
          <cell r="H1012">
            <v>1.8899325027771579</v>
          </cell>
          <cell r="I1012">
            <v>0.66637639861564668</v>
          </cell>
        </row>
        <row r="1013">
          <cell r="A1013" t="str">
            <v>RHEM-SHDEM</v>
          </cell>
          <cell r="B1013" t="str">
            <v>VAR_fin</v>
          </cell>
          <cell r="C1013" t="str">
            <v>RHEM-SHELCB</v>
          </cell>
          <cell r="D1013">
            <v>4.6274358976841174</v>
          </cell>
          <cell r="E1013">
            <v>1.6614903894275408</v>
          </cell>
          <cell r="F1013">
            <v>3.3422217669655759E-2</v>
          </cell>
          <cell r="G1013">
            <v>7.4133602273163193E-3</v>
          </cell>
          <cell r="H1013">
            <v>2.0834224501858067E-3</v>
          </cell>
          <cell r="I1013">
            <v>1.1595206270699247E-3</v>
          </cell>
        </row>
        <row r="1014">
          <cell r="A1014" t="str">
            <v>RHEM-SHDEM</v>
          </cell>
          <cell r="B1014" t="str">
            <v>VAR_fin</v>
          </cell>
          <cell r="C1014" t="str">
            <v>RHEM-SHELCH</v>
          </cell>
          <cell r="D1014">
            <v>9.9018658809410702</v>
          </cell>
          <cell r="E1014">
            <v>11.655117160093488</v>
          </cell>
          <cell r="F1014">
            <v>10.818952715300529</v>
          </cell>
          <cell r="G1014">
            <v>20.116799122152504</v>
          </cell>
          <cell r="H1014">
            <v>29.216650457047823</v>
          </cell>
          <cell r="I1014">
            <v>26.534850680053015</v>
          </cell>
        </row>
        <row r="1015">
          <cell r="A1015" t="str">
            <v>RHEM-SHDEM</v>
          </cell>
          <cell r="B1015" t="str">
            <v>VAR_fin</v>
          </cell>
          <cell r="C1015" t="str">
            <v>RHEM-SHLFO</v>
          </cell>
          <cell r="D1015">
            <v>23.442962389331008</v>
          </cell>
          <cell r="E1015">
            <v>19.079344574226774</v>
          </cell>
          <cell r="F1015">
            <v>19.081280672890792</v>
          </cell>
          <cell r="G1015">
            <v>9.0749582457461404</v>
          </cell>
          <cell r="H1015">
            <v>1.2445428790135187</v>
          </cell>
          <cell r="I1015">
            <v>7.893053189812016E-2</v>
          </cell>
        </row>
        <row r="1016">
          <cell r="A1016" t="str">
            <v>RHEM-SHDEM</v>
          </cell>
          <cell r="B1016" t="str">
            <v>VAR_fin</v>
          </cell>
          <cell r="C1016" t="str">
            <v>RHEM-SHCON</v>
          </cell>
          <cell r="D1016">
            <v>6.2531210498295089E-2</v>
          </cell>
          <cell r="E1016">
            <v>4.6803078098671023</v>
          </cell>
          <cell r="F1016">
            <v>2.9447988271541652</v>
          </cell>
          <cell r="G1016">
            <v>6.6489483221921475</v>
          </cell>
          <cell r="H1016">
            <v>12.211981947157142</v>
          </cell>
          <cell r="I1016">
            <v>17.934898043484868</v>
          </cell>
        </row>
        <row r="1017">
          <cell r="A1017" t="str">
            <v>RHEM-SHDEM</v>
          </cell>
          <cell r="B1017" t="str">
            <v>VAR_fin</v>
          </cell>
          <cell r="C1017" t="str">
            <v>RHEM-SHWOD</v>
          </cell>
          <cell r="D1017">
            <v>4.7433379810148963</v>
          </cell>
          <cell r="E1017">
            <v>4.5587211272869625</v>
          </cell>
          <cell r="F1017">
            <v>4.7644481069112166</v>
          </cell>
          <cell r="G1017">
            <v>3.9287061429796153</v>
          </cell>
          <cell r="H1017">
            <v>2.2797390330595748</v>
          </cell>
          <cell r="I1017">
            <v>0.9938660817406737</v>
          </cell>
        </row>
        <row r="1018">
          <cell r="A1018" t="str">
            <v>RHEM-SHDEM</v>
          </cell>
          <cell r="B1018" t="str">
            <v>VAR_fin</v>
          </cell>
          <cell r="C1018" t="str">
            <v>RHEM-SHLTHC-NGA</v>
          </cell>
          <cell r="D1018">
            <v>4.8286069721540786E-2</v>
          </cell>
          <cell r="E1018">
            <v>2.4846134164539227E-3</v>
          </cell>
          <cell r="F1018">
            <v>1.0856660285325439E-6</v>
          </cell>
          <cell r="G1018">
            <v>1.1250412406582457E-6</v>
          </cell>
        </row>
        <row r="1019">
          <cell r="A1019" t="str">
            <v>ITOT-SWHH2BR</v>
          </cell>
          <cell r="B1019" t="str">
            <v>VAR_fout</v>
          </cell>
          <cell r="C1019" t="str">
            <v>ITOT-SWH</v>
          </cell>
          <cell r="G1019">
            <v>9.5499431285721794</v>
          </cell>
          <cell r="H1019">
            <v>9.5499445583718092</v>
          </cell>
          <cell r="I1019">
            <v>9.5499452087680812</v>
          </cell>
        </row>
        <row r="1020">
          <cell r="A1020" t="str">
            <v>ITOT-SWHH2BR</v>
          </cell>
          <cell r="B1020" t="str">
            <v>VAR_fin</v>
          </cell>
          <cell r="C1020" t="str">
            <v>IH2</v>
          </cell>
          <cell r="G1020">
            <v>11.863234299397858</v>
          </cell>
          <cell r="H1020">
            <v>11.811542538431508</v>
          </cell>
          <cell r="I1020">
            <v>11.760298352413347</v>
          </cell>
        </row>
        <row r="1021">
          <cell r="A1021" t="str">
            <v>ITOT-SWHH2BR</v>
          </cell>
          <cell r="B1021" t="str">
            <v>VAR_ncap</v>
          </cell>
          <cell r="C1021" t="str">
            <v>-</v>
          </cell>
          <cell r="G1021">
            <v>0.89738087602641803</v>
          </cell>
          <cell r="H1021">
            <v>0.18163305628338</v>
          </cell>
          <cell r="I1021">
            <v>0.67143156509908197</v>
          </cell>
        </row>
        <row r="1022">
          <cell r="A1022" t="str">
            <v>ITOT-SWHH2BR</v>
          </cell>
          <cell r="B1022" t="str">
            <v>VAR_cap</v>
          </cell>
          <cell r="C1022" t="str">
            <v>-</v>
          </cell>
          <cell r="G1022">
            <v>0.89738087602641803</v>
          </cell>
          <cell r="H1022">
            <v>0.79453313129590053</v>
          </cell>
          <cell r="I1022">
            <v>0.80325913749588751</v>
          </cell>
        </row>
        <row r="1023">
          <cell r="A1023" t="str">
            <v>RHNS-SHSTG-ELC</v>
          </cell>
          <cell r="B1023" t="str">
            <v>VAR_fout</v>
          </cell>
          <cell r="C1023" t="str">
            <v>RHNS-SHAELCB</v>
          </cell>
          <cell r="E1023">
            <v>4.5858589615873302E-6</v>
          </cell>
          <cell r="F1023">
            <v>9.1625568622819692E-4</v>
          </cell>
          <cell r="G1023">
            <v>1.444534350748819E-3</v>
          </cell>
          <cell r="H1023">
            <v>7.8602242324106247E-4</v>
          </cell>
          <cell r="I1023">
            <v>3.576443918625647E-4</v>
          </cell>
        </row>
        <row r="1024">
          <cell r="A1024" t="str">
            <v>RHNS-SHSTG-ELC</v>
          </cell>
          <cell r="B1024" t="str">
            <v>VAR_fin</v>
          </cell>
          <cell r="C1024" t="str">
            <v>RHNS-SHAELCB</v>
          </cell>
          <cell r="E1024">
            <v>5.1206605664131135E-7</v>
          </cell>
          <cell r="F1024">
            <v>9.1214407933281304E-4</v>
          </cell>
          <cell r="G1024">
            <v>1.4403418391711977E-3</v>
          </cell>
          <cell r="H1024">
            <v>7.8414512292449012E-4</v>
          </cell>
          <cell r="I1024">
            <v>3.5602543381593472E-4</v>
          </cell>
        </row>
        <row r="1025">
          <cell r="A1025" t="str">
            <v>RHNS-SHSTG-ELC</v>
          </cell>
          <cell r="B1025" t="str">
            <v>VAR_ncap</v>
          </cell>
          <cell r="C1025" t="str">
            <v>-</v>
          </cell>
          <cell r="D1025">
            <v>5.6433879813456301E-5</v>
          </cell>
          <cell r="E1025">
            <v>8.3552351062396901E-4</v>
          </cell>
          <cell r="F1025">
            <v>4.9266318326611299E-5</v>
          </cell>
          <cell r="G1025">
            <v>3.7946777458893297E-5</v>
          </cell>
          <cell r="H1025">
            <v>3.0789231145334602E-5</v>
          </cell>
          <cell r="I1025">
            <v>2.5023876044834E-5</v>
          </cell>
        </row>
        <row r="1026">
          <cell r="A1026" t="str">
            <v>RHNS-SHSTG-ELC</v>
          </cell>
          <cell r="B1026" t="str">
            <v>VAR_cap</v>
          </cell>
          <cell r="C1026" t="str">
            <v>-</v>
          </cell>
          <cell r="D1026">
            <v>5.6433879813456301E-5</v>
          </cell>
          <cell r="E1026">
            <v>8.8614184225070138E-4</v>
          </cell>
          <cell r="F1026">
            <v>9.1097574995568388E-4</v>
          </cell>
          <cell r="G1026">
            <v>9.0936157076196115E-4</v>
          </cell>
          <cell r="H1026">
            <v>1.712551803717024E-4</v>
          </cell>
          <cell r="I1026">
            <v>7.2534372374727401E-5</v>
          </cell>
        </row>
        <row r="1027">
          <cell r="A1027" t="str">
            <v>RHES-SHCOABR</v>
          </cell>
          <cell r="B1027" t="str">
            <v>VAR_fout</v>
          </cell>
          <cell r="C1027" t="str">
            <v>CO2_R</v>
          </cell>
          <cell r="D1027">
            <v>9.2700779640888502</v>
          </cell>
          <cell r="E1027">
            <v>9.2699703994364704</v>
          </cell>
          <cell r="F1027">
            <v>2.4015047353697399</v>
          </cell>
        </row>
        <row r="1028">
          <cell r="A1028" t="str">
            <v>RHES-SHCOABR</v>
          </cell>
          <cell r="B1028" t="str">
            <v>VAR_fout</v>
          </cell>
          <cell r="C1028" t="str">
            <v>RHES-SHCOA</v>
          </cell>
          <cell r="D1028">
            <v>7.200060554632122E-2</v>
          </cell>
          <cell r="E1028">
            <v>7.1999770092710483E-2</v>
          </cell>
          <cell r="F1028">
            <v>2.0675211482610711E-2</v>
          </cell>
        </row>
        <row r="1029">
          <cell r="A1029" t="str">
            <v>RHES-SHCOABR</v>
          </cell>
          <cell r="B1029" t="str">
            <v>VAR_fin</v>
          </cell>
          <cell r="C1029" t="str">
            <v>RCOA</v>
          </cell>
          <cell r="D1029">
            <v>0.10000084103655721</v>
          </cell>
          <cell r="E1029">
            <v>9.9999680684320025E-2</v>
          </cell>
          <cell r="F1029">
            <v>2.590619995005115E-2</v>
          </cell>
        </row>
        <row r="1030">
          <cell r="A1030" t="str">
            <v>RHES-SHCOABR</v>
          </cell>
          <cell r="B1030" t="str">
            <v>VAR_cap</v>
          </cell>
          <cell r="C1030" t="str">
            <v>-</v>
          </cell>
          <cell r="D1030">
            <v>7.0000000000000001E-3</v>
          </cell>
          <cell r="E1030">
            <v>6.777418315786583E-3</v>
          </cell>
          <cell r="F1030">
            <v>2.4900379887138006E-3</v>
          </cell>
          <cell r="G1030">
            <v>7.1776214894698348E-6</v>
          </cell>
        </row>
        <row r="1031">
          <cell r="A1031" t="str">
            <v>D-INGA</v>
          </cell>
          <cell r="B1031" t="str">
            <v>VAR_fout</v>
          </cell>
          <cell r="C1031" t="str">
            <v>CO2</v>
          </cell>
          <cell r="D1031">
            <v>2101.87344529649</v>
          </cell>
          <cell r="E1031">
            <v>1801.6504541623201</v>
          </cell>
          <cell r="F1031">
            <v>1691.0774079463899</v>
          </cell>
          <cell r="G1031">
            <v>628.09781591312799</v>
          </cell>
          <cell r="H1031">
            <v>128.24029974379101</v>
          </cell>
          <cell r="I1031">
            <v>399.43056312206699</v>
          </cell>
        </row>
        <row r="1032">
          <cell r="A1032" t="str">
            <v>D-INGA</v>
          </cell>
          <cell r="B1032" t="str">
            <v>VAR_fout</v>
          </cell>
          <cell r="C1032" t="str">
            <v>INGA</v>
          </cell>
          <cell r="D1032">
            <v>37.475450990451129</v>
          </cell>
          <cell r="E1032">
            <v>31.842753452522725</v>
          </cell>
          <cell r="F1032">
            <v>29.906805204875994</v>
          </cell>
          <cell r="G1032">
            <v>11.440952229636789</v>
          </cell>
          <cell r="H1032">
            <v>3.8055956275773171</v>
          </cell>
          <cell r="I1032">
            <v>8.5945465128604184</v>
          </cell>
        </row>
        <row r="1033">
          <cell r="A1033" t="str">
            <v>D-INGA</v>
          </cell>
          <cell r="B1033" t="str">
            <v>VAR_fin</v>
          </cell>
          <cell r="C1033" t="str">
            <v>NGA</v>
          </cell>
          <cell r="D1033">
            <v>37.267259668377505</v>
          </cell>
          <cell r="E1033">
            <v>31.944156988693521</v>
          </cell>
          <cell r="F1033">
            <v>29.983641984865145</v>
          </cell>
          <cell r="G1033">
            <v>11.13648609775051</v>
          </cell>
          <cell r="H1033">
            <v>2.2737641798544432</v>
          </cell>
          <cell r="I1033">
            <v>7.0821021830153725</v>
          </cell>
        </row>
        <row r="1034">
          <cell r="A1034" t="str">
            <v>D-INGA</v>
          </cell>
          <cell r="B1034" t="str">
            <v>VAR_fin</v>
          </cell>
          <cell r="C1034" t="str">
            <v>BNGA</v>
          </cell>
          <cell r="D1034">
            <v>0.32791113187919763</v>
          </cell>
          <cell r="E1034">
            <v>3.6573968364245923E-4</v>
          </cell>
          <cell r="F1034">
            <v>8.686439220157798E-4</v>
          </cell>
          <cell r="G1034">
            <v>8.6967277111617812E-4</v>
          </cell>
          <cell r="H1034">
            <v>1.5235946592009579</v>
          </cell>
          <cell r="I1034">
            <v>1.5235593077519447</v>
          </cell>
        </row>
        <row r="1035">
          <cell r="A1035" t="str">
            <v>D-INGA</v>
          </cell>
          <cell r="B1035" t="str">
            <v>VAR_fin</v>
          </cell>
          <cell r="C1035" t="str">
            <v>H2</v>
          </cell>
          <cell r="F1035">
            <v>1.7835441812687709E-2</v>
          </cell>
          <cell r="G1035">
            <v>0.3402001303383691</v>
          </cell>
          <cell r="H1035">
            <v>2.0674274051376909E-2</v>
          </cell>
          <cell r="I1035">
            <v>1.6461962537456094E-2</v>
          </cell>
        </row>
        <row r="1036">
          <cell r="A1036" t="str">
            <v>D-INGA</v>
          </cell>
          <cell r="B1036" t="str">
            <v>VAR_ncap</v>
          </cell>
          <cell r="C1036" t="str">
            <v>-</v>
          </cell>
          <cell r="D1036">
            <v>1.3573423310587401E-6</v>
          </cell>
          <cell r="E1036">
            <v>7.4180974084185504E-7</v>
          </cell>
          <cell r="F1036">
            <v>1.13648094487397E-6</v>
          </cell>
          <cell r="G1036">
            <v>2.0468400197140001E-6</v>
          </cell>
          <cell r="H1036">
            <v>3.78681777024506E-6</v>
          </cell>
          <cell r="I1036">
            <v>6.7875916709937096E-5</v>
          </cell>
        </row>
        <row r="1037">
          <cell r="A1037" t="str">
            <v>D-INGA</v>
          </cell>
          <cell r="B1037" t="str">
            <v>VAR_cap</v>
          </cell>
          <cell r="C1037" t="str">
            <v>-</v>
          </cell>
          <cell r="D1037">
            <v>1.984484727608431</v>
          </cell>
          <cell r="E1037">
            <v>1.9844854694181719</v>
          </cell>
          <cell r="F1037">
            <v>1.9844866058991169</v>
          </cell>
          <cell r="G1037">
            <v>1.9844886527391365</v>
          </cell>
          <cell r="H1037">
            <v>1.9844961370107039</v>
          </cell>
          <cell r="I1037">
            <v>1.0955400801072337</v>
          </cell>
        </row>
        <row r="1038">
          <cell r="A1038" t="str">
            <v>RHEM-SHNGAHP</v>
          </cell>
          <cell r="B1038" t="str">
            <v>VAR_fout</v>
          </cell>
          <cell r="C1038" t="str">
            <v>CO2_R</v>
          </cell>
          <cell r="F1038">
            <v>57.718309457739899</v>
          </cell>
          <cell r="G1038">
            <v>112.296755936088</v>
          </cell>
          <cell r="H1038">
            <v>155.28540262963</v>
          </cell>
          <cell r="I1038">
            <v>109.843434210805</v>
          </cell>
        </row>
        <row r="1039">
          <cell r="A1039" t="str">
            <v>RHEM-SHNGAHP</v>
          </cell>
          <cell r="B1039" t="str">
            <v>VAR_fout</v>
          </cell>
          <cell r="C1039" t="str">
            <v>RHEM-SHANGAH</v>
          </cell>
          <cell r="F1039">
            <v>1.9436455296674418</v>
          </cell>
          <cell r="G1039">
            <v>3.9413126863283603</v>
          </cell>
          <cell r="H1039">
            <v>5.6009237331040245</v>
          </cell>
          <cell r="I1039">
            <v>4.1593136555591119</v>
          </cell>
        </row>
        <row r="1040">
          <cell r="A1040" t="str">
            <v>RHEM-SHNGAHP</v>
          </cell>
          <cell r="B1040" t="str">
            <v>VAR_fin</v>
          </cell>
          <cell r="C1040" t="str">
            <v>RHEMELCHPC</v>
          </cell>
          <cell r="F1040">
            <v>1.9436455296674418</v>
          </cell>
          <cell r="G1040">
            <v>3.9413126863283603</v>
          </cell>
          <cell r="H1040">
            <v>5.6009237331040245</v>
          </cell>
          <cell r="I1040">
            <v>4.1593136555591119</v>
          </cell>
        </row>
        <row r="1041">
          <cell r="A1041" t="str">
            <v>RHEM-SHNGAHP</v>
          </cell>
          <cell r="B1041" t="str">
            <v>VAR_fin</v>
          </cell>
          <cell r="C1041" t="str">
            <v>RNGA</v>
          </cell>
          <cell r="F1041">
            <v>1.0233742811656006</v>
          </cell>
          <cell r="G1041">
            <v>1.9910772329093687</v>
          </cell>
          <cell r="H1041">
            <v>2.7532872806671915</v>
          </cell>
          <cell r="I1041">
            <v>1.9475786207589452</v>
          </cell>
        </row>
        <row r="1042">
          <cell r="A1042" t="str">
            <v>RHEM-SHNGAHP</v>
          </cell>
          <cell r="B1042" t="str">
            <v>VAR_ncap</v>
          </cell>
          <cell r="C1042" t="str">
            <v>-</v>
          </cell>
          <cell r="D1042">
            <v>1.8878616828924201E-7</v>
          </cell>
          <cell r="E1042">
            <v>6.2726378005908703E-7</v>
          </cell>
          <cell r="F1042">
            <v>0.137280675389824</v>
          </cell>
          <cell r="G1042">
            <v>0.14104469925313301</v>
          </cell>
          <cell r="H1042">
            <v>0.21677246363782901</v>
          </cell>
          <cell r="I1042">
            <v>0.112343774579467</v>
          </cell>
        </row>
        <row r="1043">
          <cell r="A1043" t="str">
            <v>RHEM-SHNGAHP</v>
          </cell>
          <cell r="B1043" t="str">
            <v>VAR_cap</v>
          </cell>
          <cell r="C1043" t="str">
            <v>-</v>
          </cell>
          <cell r="D1043">
            <v>1.8878616828924201E-7</v>
          </cell>
          <cell r="E1043">
            <v>6.3169602161533692E-7</v>
          </cell>
          <cell r="F1043">
            <v>0.13728126556820708</v>
          </cell>
          <cell r="G1043">
            <v>0.27832591453836902</v>
          </cell>
          <cell r="H1043">
            <v>0.3955300488056453</v>
          </cell>
          <cell r="I1043">
            <v>0.29424330555209605</v>
          </cell>
        </row>
        <row r="1044">
          <cell r="A1044" t="str">
            <v>D-SPLT</v>
          </cell>
          <cell r="B1044" t="str">
            <v>VAR_fout</v>
          </cell>
          <cell r="C1044" t="str">
            <v>SPLT</v>
          </cell>
          <cell r="D1044">
            <v>2.085636203332542</v>
          </cell>
          <cell r="E1044">
            <v>2.4000921429858377</v>
          </cell>
          <cell r="F1044">
            <v>0.28621888394374079</v>
          </cell>
          <cell r="G1044">
            <v>0.25403278952821806</v>
          </cell>
          <cell r="H1044">
            <v>0.13448840500234571</v>
          </cell>
          <cell r="I1044">
            <v>4.538862079517577E-2</v>
          </cell>
        </row>
        <row r="1045">
          <cell r="A1045" t="str">
            <v>D-SPLT</v>
          </cell>
          <cell r="B1045" t="str">
            <v>VAR_fin</v>
          </cell>
          <cell r="C1045" t="str">
            <v>PLT</v>
          </cell>
          <cell r="D1045">
            <v>2.085636203332542</v>
          </cell>
          <cell r="E1045">
            <v>2.4000921429858377</v>
          </cell>
          <cell r="F1045">
            <v>0.28621888394374079</v>
          </cell>
          <cell r="G1045">
            <v>0.25403278952821806</v>
          </cell>
          <cell r="H1045">
            <v>0.13448840500234571</v>
          </cell>
          <cell r="I1045">
            <v>4.538862079517577E-2</v>
          </cell>
        </row>
        <row r="1046">
          <cell r="A1046" t="str">
            <v>RHES-SHCONBR</v>
          </cell>
          <cell r="B1046" t="str">
            <v>VAR_fout</v>
          </cell>
          <cell r="C1046" t="str">
            <v>RHES-SHCON</v>
          </cell>
          <cell r="F1046">
            <v>1.3992551962012115E-4</v>
          </cell>
          <cell r="G1046">
            <v>1.493852858449486E-4</v>
          </cell>
          <cell r="H1046">
            <v>1.8295143247264297E-4</v>
          </cell>
          <cell r="I1046">
            <v>1.9229704264237514E-4</v>
          </cell>
        </row>
        <row r="1047">
          <cell r="A1047" t="str">
            <v>RHES-SHCONBR</v>
          </cell>
          <cell r="B1047" t="str">
            <v>VAR_fin</v>
          </cell>
          <cell r="C1047" t="str">
            <v>CON</v>
          </cell>
          <cell r="F1047">
            <v>1.3992551962012115E-4</v>
          </cell>
          <cell r="G1047">
            <v>1.493852858449486E-4</v>
          </cell>
          <cell r="H1047">
            <v>1.8295143247264297E-4</v>
          </cell>
          <cell r="I1047">
            <v>1.9229704264237514E-4</v>
          </cell>
        </row>
        <row r="1048">
          <cell r="A1048" t="str">
            <v>RHES-SHCONBR</v>
          </cell>
          <cell r="B1048" t="str">
            <v>VAR_ncap</v>
          </cell>
          <cell r="C1048" t="str">
            <v>-</v>
          </cell>
          <cell r="E1048">
            <v>3.6316682376549097E-8</v>
          </cell>
          <cell r="F1048">
            <v>1.3143395111343201E-5</v>
          </cell>
          <cell r="G1048">
            <v>2.0636701893516299E-7</v>
          </cell>
          <cell r="H1048">
            <v>1.4145605946635701E-7</v>
          </cell>
          <cell r="I1048">
            <v>8.4232184978702196E-8</v>
          </cell>
        </row>
        <row r="1049">
          <cell r="A1049" t="str">
            <v>RHES-SHCONBR</v>
          </cell>
          <cell r="B1049" t="str">
            <v>VAR_cap</v>
          </cell>
          <cell r="C1049" t="str">
            <v>-</v>
          </cell>
          <cell r="E1049">
            <v>3.6316682376549097E-8</v>
          </cell>
          <cell r="F1049">
            <v>1.3156484002547756E-5</v>
          </cell>
          <cell r="G1049">
            <v>1.3348448528260011E-5</v>
          </cell>
          <cell r="H1049">
            <v>1.6638902673758747E-5</v>
          </cell>
          <cell r="I1049">
            <v>1.6813928524602698E-5</v>
          </cell>
        </row>
        <row r="1050">
          <cell r="A1050" t="str">
            <v>RHSA-WHSOLBR</v>
          </cell>
          <cell r="B1050" t="str">
            <v>VAR_fout</v>
          </cell>
          <cell r="C1050" t="str">
            <v>RHSA-WHASOL</v>
          </cell>
          <cell r="D1050">
            <v>1.721488024659851</v>
          </cell>
          <cell r="E1050">
            <v>1.9867284333645976</v>
          </cell>
          <cell r="F1050">
            <v>0.97687113823705951</v>
          </cell>
          <cell r="G1050">
            <v>1.4223710347091325</v>
          </cell>
          <cell r="H1050">
            <v>2.0481243614934708</v>
          </cell>
          <cell r="I1050">
            <v>2.4775033548439285</v>
          </cell>
        </row>
        <row r="1051">
          <cell r="A1051" t="str">
            <v>RHSA-WHSOLBR</v>
          </cell>
          <cell r="B1051" t="str">
            <v>VAR_fin</v>
          </cell>
          <cell r="C1051" t="str">
            <v>SOL</v>
          </cell>
          <cell r="D1051">
            <v>1.721488024659851</v>
          </cell>
          <cell r="E1051">
            <v>1.9867284333645976</v>
          </cell>
          <cell r="F1051">
            <v>0.97687113823705951</v>
          </cell>
          <cell r="G1051">
            <v>1.4223710347091325</v>
          </cell>
          <cell r="H1051">
            <v>2.0481243614934708</v>
          </cell>
          <cell r="I1051">
            <v>2.4775033548439285</v>
          </cell>
        </row>
        <row r="1052">
          <cell r="A1052" t="str">
            <v>RHSA-WHSOLBR</v>
          </cell>
          <cell r="B1052" t="str">
            <v>VAR_fin</v>
          </cell>
          <cell r="C1052" t="str">
            <v>RHSASOLBRC</v>
          </cell>
          <cell r="D1052">
            <v>1.721488024659851</v>
          </cell>
          <cell r="E1052">
            <v>1.9867284333645976</v>
          </cell>
          <cell r="F1052">
            <v>0.97687113823705951</v>
          </cell>
          <cell r="G1052">
            <v>1.4223710347091325</v>
          </cell>
          <cell r="H1052">
            <v>2.0481243614934708</v>
          </cell>
          <cell r="I1052">
            <v>2.4775033548439285</v>
          </cell>
        </row>
        <row r="1053">
          <cell r="A1053" t="str">
            <v>RHSA-WHSOLBR</v>
          </cell>
          <cell r="B1053" t="str">
            <v>VAR_ncap</v>
          </cell>
          <cell r="C1053" t="str">
            <v>-</v>
          </cell>
          <cell r="E1053">
            <v>8.3581482848406705E-2</v>
          </cell>
          <cell r="F1053">
            <v>2.1067114774648399E-6</v>
          </cell>
          <cell r="G1053">
            <v>2.7318015158774599E-2</v>
          </cell>
          <cell r="H1053">
            <v>0.221911535204283</v>
          </cell>
          <cell r="I1053">
            <v>0.42179982585318698</v>
          </cell>
        </row>
        <row r="1054">
          <cell r="A1054" t="str">
            <v>RHSA-WHSOLBR</v>
          </cell>
          <cell r="B1054" t="str">
            <v>VAR_cap</v>
          </cell>
          <cell r="C1054" t="str">
            <v>-</v>
          </cell>
          <cell r="D1054">
            <v>0.25000991745774798</v>
          </cell>
          <cell r="E1054">
            <v>0.33359118370429203</v>
          </cell>
          <cell r="F1054">
            <v>0.33359242442573267</v>
          </cell>
          <cell r="G1054">
            <v>0.36091035207200212</v>
          </cell>
          <cell r="H1054">
            <v>0.55772414963390105</v>
          </cell>
          <cell r="I1054">
            <v>0.7170028585006003</v>
          </cell>
        </row>
        <row r="1055">
          <cell r="A1055" t="str">
            <v>SCOM-SHCONBR</v>
          </cell>
          <cell r="B1055" t="str">
            <v>VAR_ncap</v>
          </cell>
          <cell r="C1055" t="str">
            <v>-</v>
          </cell>
          <cell r="D1055">
            <v>1.7499624012969101E-8</v>
          </cell>
          <cell r="E1055">
            <v>1.9329792949312501E-8</v>
          </cell>
          <cell r="F1055">
            <v>1.9307623025621601E-8</v>
          </cell>
          <cell r="G1055">
            <v>1.9213863946981199E-8</v>
          </cell>
          <cell r="H1055">
            <v>8.6536842294402194E-8</v>
          </cell>
          <cell r="I1055">
            <v>1.0275009764557601E-7</v>
          </cell>
        </row>
        <row r="1056">
          <cell r="A1056" t="str">
            <v>SCOM-SHCONBR</v>
          </cell>
          <cell r="B1056" t="str">
            <v>VAR_cap</v>
          </cell>
          <cell r="C1056" t="str">
            <v>-</v>
          </cell>
          <cell r="D1056">
            <v>1.7499624012969101E-8</v>
          </cell>
          <cell r="E1056">
            <v>1.7670187418365199E-8</v>
          </cell>
          <cell r="F1056">
            <v>1.8091390569423502E-8</v>
          </cell>
          <cell r="G1056">
            <v>1.7393863535186097E-8</v>
          </cell>
          <cell r="H1056">
            <v>3.3077978675724631E-7</v>
          </cell>
          <cell r="I1056">
            <v>5.0487624826804003E-7</v>
          </cell>
        </row>
        <row r="1057">
          <cell r="A1057" t="str">
            <v>RHNM-SHNGABR</v>
          </cell>
          <cell r="B1057" t="str">
            <v>VAR_fout</v>
          </cell>
          <cell r="C1057" t="str">
            <v>CO2_R</v>
          </cell>
          <cell r="E1057">
            <v>43.099213992644103</v>
          </cell>
          <cell r="F1057">
            <v>0.137318210666868</v>
          </cell>
          <cell r="G1057">
            <v>0.45096905040872598</v>
          </cell>
        </row>
        <row r="1058">
          <cell r="A1058" t="str">
            <v>RHNM-SHNGABR</v>
          </cell>
          <cell r="B1058" t="str">
            <v>VAR_fout</v>
          </cell>
          <cell r="C1058" t="str">
            <v>RHNM-SHNGA</v>
          </cell>
          <cell r="E1058">
            <v>0.72596193781936036</v>
          </cell>
          <cell r="F1058">
            <v>2.3378240384939954E-3</v>
          </cell>
          <cell r="G1058">
            <v>7.677687333255581E-3</v>
          </cell>
        </row>
        <row r="1059">
          <cell r="A1059" t="str">
            <v>RHNM-SHNGABR</v>
          </cell>
          <cell r="B1059" t="str">
            <v>VAR_fin</v>
          </cell>
          <cell r="C1059" t="str">
            <v>RNGA</v>
          </cell>
          <cell r="E1059">
            <v>0.76417046086248441</v>
          </cell>
          <cell r="F1059">
            <v>2.4347200472848874E-3</v>
          </cell>
          <cell r="G1059">
            <v>7.9959051490908865E-3</v>
          </cell>
        </row>
        <row r="1060">
          <cell r="A1060" t="str">
            <v>RHNM-SHNGABR</v>
          </cell>
          <cell r="B1060" t="str">
            <v>VAR_ncap</v>
          </cell>
          <cell r="C1060" t="str">
            <v>-</v>
          </cell>
          <cell r="E1060">
            <v>5.6398184356909499E-2</v>
          </cell>
          <cell r="F1060">
            <v>1.21279536912562E-6</v>
          </cell>
          <cell r="G1060">
            <v>8.7236545082369796E-7</v>
          </cell>
          <cell r="H1060">
            <v>6.4094434934641405E-7</v>
          </cell>
          <cell r="I1060">
            <v>4.4987647354557802E-7</v>
          </cell>
        </row>
        <row r="1061">
          <cell r="A1061" t="str">
            <v>RHNM-SHNGABR</v>
          </cell>
          <cell r="B1061" t="str">
            <v>VAR_cap</v>
          </cell>
          <cell r="C1061" t="str">
            <v>-</v>
          </cell>
          <cell r="E1061">
            <v>5.6398184356909499E-2</v>
          </cell>
          <cell r="F1061">
            <v>4.6967782058517024E-3</v>
          </cell>
          <cell r="G1061">
            <v>3.9883890111737028E-3</v>
          </cell>
          <cell r="H1061">
            <v>1.2509159058611699E-6</v>
          </cell>
          <cell r="I1061">
            <v>5.4014176443454199E-7</v>
          </cell>
        </row>
        <row r="1062">
          <cell r="A1062" t="str">
            <v>RHES-SHSOLBR</v>
          </cell>
          <cell r="B1062" t="str">
            <v>VAR_fout</v>
          </cell>
          <cell r="C1062" t="str">
            <v>RHES-SHASOL</v>
          </cell>
          <cell r="D1062">
            <v>0.37732610756439694</v>
          </cell>
          <cell r="E1062">
            <v>0.43546535589827801</v>
          </cell>
          <cell r="F1062">
            <v>2.175526959601555E-2</v>
          </cell>
          <cell r="G1062">
            <v>2.7241975377936621E-2</v>
          </cell>
          <cell r="H1062">
            <v>3.0423933140001455E-2</v>
          </cell>
          <cell r="I1062">
            <v>3.1421089530560428E-2</v>
          </cell>
        </row>
        <row r="1063">
          <cell r="A1063" t="str">
            <v>RHES-SHSOLBR</v>
          </cell>
          <cell r="B1063" t="str">
            <v>VAR_fin</v>
          </cell>
          <cell r="C1063" t="str">
            <v>SOL</v>
          </cell>
          <cell r="D1063">
            <v>0.37732610756439694</v>
          </cell>
          <cell r="E1063">
            <v>0.43546535589827801</v>
          </cell>
          <cell r="F1063">
            <v>2.175526959601555E-2</v>
          </cell>
          <cell r="G1063">
            <v>2.7241975377936621E-2</v>
          </cell>
          <cell r="H1063">
            <v>3.0423933140001455E-2</v>
          </cell>
          <cell r="I1063">
            <v>3.1421089530560428E-2</v>
          </cell>
        </row>
        <row r="1064">
          <cell r="A1064" t="str">
            <v>RHES-SHSOLBR</v>
          </cell>
          <cell r="B1064" t="str">
            <v>VAR_ncap</v>
          </cell>
          <cell r="C1064" t="str">
            <v>-</v>
          </cell>
          <cell r="E1064">
            <v>8.4616027201698998E-3</v>
          </cell>
          <cell r="F1064">
            <v>3.6089225965278499E-7</v>
          </cell>
          <cell r="G1064">
            <v>4.48687658161524E-7</v>
          </cell>
          <cell r="H1064">
            <v>4.4864274261028304E-3</v>
          </cell>
          <cell r="I1064">
            <v>1.5003828169202801E-3</v>
          </cell>
        </row>
        <row r="1065">
          <cell r="A1065" t="str">
            <v>RHES-SHSOLBR</v>
          </cell>
          <cell r="B1065" t="str">
            <v>VAR_cap</v>
          </cell>
          <cell r="C1065" t="str">
            <v>-</v>
          </cell>
          <cell r="D1065">
            <v>5.4798678617278197E-2</v>
          </cell>
          <cell r="E1065">
            <v>6.3260212730890983E-2</v>
          </cell>
          <cell r="F1065">
            <v>6.3259409025046801E-2</v>
          </cell>
          <cell r="G1065">
            <v>6.3259143581744823E-2</v>
          </cell>
          <cell r="H1065">
            <v>4.4885791044189756E-3</v>
          </cell>
          <cell r="I1065">
            <v>4.7569912445962993E-3</v>
          </cell>
        </row>
        <row r="1066">
          <cell r="A1066" t="str">
            <v>SCOM-SHSOLBR</v>
          </cell>
          <cell r="B1066" t="str">
            <v>VAR_fout</v>
          </cell>
          <cell r="C1066" t="str">
            <v>SCOM-SHASOL</v>
          </cell>
          <cell r="D1066">
            <v>0.62699619610892676</v>
          </cell>
          <cell r="E1066">
            <v>0.68733634538290822</v>
          </cell>
          <cell r="F1066">
            <v>0.55865361244247658</v>
          </cell>
          <cell r="G1066">
            <v>0.80650740945830168</v>
          </cell>
          <cell r="H1066">
            <v>1.1662652882050146</v>
          </cell>
          <cell r="I1066">
            <v>1.3447868745099547</v>
          </cell>
        </row>
        <row r="1067">
          <cell r="A1067" t="str">
            <v>SCOM-SHSOLBR</v>
          </cell>
          <cell r="B1067" t="str">
            <v>VAR_fin</v>
          </cell>
          <cell r="C1067" t="str">
            <v>SOL</v>
          </cell>
          <cell r="D1067">
            <v>0.62699619610892676</v>
          </cell>
          <cell r="E1067">
            <v>0.68733634538290822</v>
          </cell>
          <cell r="F1067">
            <v>0.55865361244247658</v>
          </cell>
          <cell r="G1067">
            <v>0.80650740945830168</v>
          </cell>
          <cell r="H1067">
            <v>1.1662652882050146</v>
          </cell>
          <cell r="I1067">
            <v>1.3447868745099547</v>
          </cell>
        </row>
        <row r="1068">
          <cell r="A1068" t="str">
            <v>SCOM-SHSOLBR</v>
          </cell>
          <cell r="B1068" t="str">
            <v>VAR_ncap</v>
          </cell>
          <cell r="C1068" t="str">
            <v>-</v>
          </cell>
          <cell r="D1068">
            <v>7.4767095372912595E-5</v>
          </cell>
          <cell r="E1068">
            <v>8.7465381814252601E-3</v>
          </cell>
          <cell r="F1068">
            <v>1.6583259007096999E-6</v>
          </cell>
          <cell r="G1068">
            <v>1.7741922138941001E-2</v>
          </cell>
          <cell r="H1068">
            <v>6.8460890473598698E-2</v>
          </cell>
          <cell r="I1068">
            <v>0.14996120387619999</v>
          </cell>
        </row>
        <row r="1069">
          <cell r="A1069" t="str">
            <v>SCOM-SHSOLBR</v>
          </cell>
          <cell r="B1069" t="str">
            <v>VAR_cap</v>
          </cell>
          <cell r="C1069" t="str">
            <v>-</v>
          </cell>
          <cell r="D1069">
            <v>9.1132360571452409E-2</v>
          </cell>
          <cell r="E1069">
            <v>9.9878703852369133E-2</v>
          </cell>
          <cell r="F1069">
            <v>9.9879636240194927E-2</v>
          </cell>
          <cell r="G1069">
            <v>0.117621627601665</v>
          </cell>
          <cell r="H1069">
            <v>0.17364627511982544</v>
          </cell>
          <cell r="I1069">
            <v>0.2390124121416668</v>
          </cell>
        </row>
        <row r="1070">
          <cell r="A1070" t="str">
            <v>RHEM-SHSTG-ELCHP</v>
          </cell>
          <cell r="B1070" t="str">
            <v>VAR_fout</v>
          </cell>
          <cell r="C1070" t="str">
            <v>RHEM-SHAELCH</v>
          </cell>
          <cell r="D1070">
            <v>1.4984407108711768E-6</v>
          </cell>
          <cell r="E1070">
            <v>2.5469830205041631E-6</v>
          </cell>
          <cell r="F1070">
            <v>0.45992606132208147</v>
          </cell>
          <cell r="G1070">
            <v>0.876940659152734</v>
          </cell>
          <cell r="H1070">
            <v>0.99997214480304775</v>
          </cell>
          <cell r="I1070">
            <v>0.92338890390148565</v>
          </cell>
        </row>
        <row r="1071">
          <cell r="A1071" t="str">
            <v>RHEM-SHSTG-ELCHP</v>
          </cell>
          <cell r="B1071" t="str">
            <v>VAR_fin</v>
          </cell>
          <cell r="C1071" t="str">
            <v>RHEM-SHAELCH</v>
          </cell>
          <cell r="D1071">
            <v>7.2823200733836958E-6</v>
          </cell>
          <cell r="E1071">
            <v>3.7268683774619618E-6</v>
          </cell>
          <cell r="F1071">
            <v>0.45993525110746047</v>
          </cell>
          <cell r="G1071">
            <v>0.8769529316999144</v>
          </cell>
          <cell r="H1071">
            <v>0.99999577060578182</v>
          </cell>
          <cell r="I1071">
            <v>0.9234063430276841</v>
          </cell>
        </row>
        <row r="1072">
          <cell r="A1072" t="str">
            <v>RHEM-SHSTG-ELCHP</v>
          </cell>
          <cell r="B1072" t="str">
            <v>VAR_ncap</v>
          </cell>
          <cell r="C1072" t="str">
            <v>-</v>
          </cell>
          <cell r="D1072">
            <v>9.4640114952720695E-3</v>
          </cell>
          <cell r="E1072">
            <v>0.18422698773736901</v>
          </cell>
          <cell r="F1072">
            <v>7.2809446670444E-5</v>
          </cell>
          <cell r="G1072">
            <v>0.140628225904186</v>
          </cell>
          <cell r="H1072">
            <v>0.22199575493666299</v>
          </cell>
          <cell r="I1072">
            <v>0.209012651791881</v>
          </cell>
        </row>
        <row r="1073">
          <cell r="A1073" t="str">
            <v>RHEM-SHSTG-ELCHP</v>
          </cell>
          <cell r="B1073" t="str">
            <v>VAR_cap</v>
          </cell>
          <cell r="C1073" t="str">
            <v>-</v>
          </cell>
          <cell r="D1073">
            <v>9.4640114952720695E-3</v>
          </cell>
          <cell r="E1073">
            <v>0.1936505489225121</v>
          </cell>
          <cell r="F1073">
            <v>0.1936503187625927</v>
          </cell>
          <cell r="G1073">
            <v>0.3342442324885907</v>
          </cell>
          <cell r="H1073">
            <v>0.48543998446425024</v>
          </cell>
          <cell r="I1073">
            <v>0.44088675820409845</v>
          </cell>
        </row>
        <row r="1074">
          <cell r="A1074" t="str">
            <v>ITOT-SWHELCBR</v>
          </cell>
          <cell r="B1074" t="str">
            <v>VAR_fout</v>
          </cell>
          <cell r="C1074" t="str">
            <v>ITOT-SWHAELC</v>
          </cell>
          <cell r="D1074">
            <v>9.8138985341457481</v>
          </cell>
          <cell r="E1074">
            <v>10.335083785698153</v>
          </cell>
          <cell r="F1074">
            <v>12.611751859860615</v>
          </cell>
          <cell r="G1074">
            <v>12.611752616629538</v>
          </cell>
          <cell r="H1074">
            <v>12.611752178560325</v>
          </cell>
          <cell r="I1074">
            <v>12.611751272116093</v>
          </cell>
        </row>
        <row r="1075">
          <cell r="A1075" t="str">
            <v>ITOT-SWHELCBR</v>
          </cell>
          <cell r="B1075" t="str">
            <v>VAR_fin</v>
          </cell>
          <cell r="C1075" t="str">
            <v>ITOT_ELC</v>
          </cell>
          <cell r="D1075">
            <v>11.64694852665966</v>
          </cell>
          <cell r="E1075">
            <v>12.25897894752271</v>
          </cell>
          <cell r="F1075">
            <v>14.947566726427382</v>
          </cell>
          <cell r="G1075">
            <v>14.927799022002263</v>
          </cell>
          <cell r="H1075">
            <v>14.888417755683102</v>
          </cell>
          <cell r="I1075">
            <v>14.849243173163073</v>
          </cell>
        </row>
        <row r="1076">
          <cell r="A1076" t="str">
            <v>ITOT-SWHELCBR</v>
          </cell>
          <cell r="B1076" t="str">
            <v>VAR_ncap</v>
          </cell>
          <cell r="C1076" t="str">
            <v>-</v>
          </cell>
          <cell r="E1076">
            <v>0.15479825925308599</v>
          </cell>
          <cell r="F1076">
            <v>0.227988924430267</v>
          </cell>
          <cell r="G1076">
            <v>5.0007134550237101E-2</v>
          </cell>
          <cell r="H1076">
            <v>0.45573659979022602</v>
          </cell>
          <cell r="I1076">
            <v>0.48127157085846101</v>
          </cell>
        </row>
        <row r="1077">
          <cell r="A1077" t="str">
            <v>ITOT-SWHELCBR</v>
          </cell>
          <cell r="B1077" t="str">
            <v>VAR_cap</v>
          </cell>
          <cell r="C1077" t="str">
            <v>-</v>
          </cell>
          <cell r="D1077">
            <v>0.55644997413134401</v>
          </cell>
          <cell r="E1077">
            <v>0.71124308707709227</v>
          </cell>
          <cell r="F1077">
            <v>0.93921591198466392</v>
          </cell>
          <cell r="G1077">
            <v>0.98919020481502884</v>
          </cell>
          <cell r="H1077">
            <v>1.0213613738087304</v>
          </cell>
          <cell r="I1077">
            <v>1.019743388542679</v>
          </cell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265.28326542682578</v>
          </cell>
          <cell r="J4">
            <v>125.23944433405158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4.038450766879962E-2</v>
          </cell>
          <cell r="J5">
            <v>6.5773726020477994E-3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162.72611173189324</v>
          </cell>
          <cell r="J6">
            <v>116.23438875426632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102.51676918726355</v>
          </cell>
          <cell r="J7">
            <v>8.9984782071832807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393.19566404745711</v>
          </cell>
          <cell r="I8">
            <v>-456.20364930034037</v>
          </cell>
          <cell r="J8">
            <v>-194.99895629238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0.91108766728008261</v>
          </cell>
          <cell r="J9">
            <v>1140.9251144015086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0.16952336822699518</v>
          </cell>
          <cell r="J10">
            <v>405.33732876233347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1.0168849670891891</v>
          </cell>
          <cell r="J11">
            <v>1088.6114122475767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76.40467186598994</v>
          </cell>
          <cell r="J12">
            <v>714.96049128426648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0.11746254106462783</v>
          </cell>
          <cell r="J13">
            <v>1.1026369062385522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4.755491500290321E-3</v>
          </cell>
          <cell r="J14">
            <v>2.0637694511079399E-2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186.34921703731848</v>
          </cell>
          <cell r="J15">
            <v>863.35958939574039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0.25797925845966957</v>
          </cell>
          <cell r="J16">
            <v>475.77398809597668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4.2679830658152229E-2</v>
          </cell>
          <cell r="J17">
            <v>1030.0833863208234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1026.0853596698394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2.0864604524908258E-2</v>
          </cell>
          <cell r="J19">
            <v>3.2895728581693678E-2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4.6573797638364188E-2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2.1452888201938017E-3</v>
          </cell>
          <cell r="J21">
            <v>7.0459853105246109E-4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2.7899668875568822E-3</v>
          </cell>
          <cell r="J22">
            <v>1.4450817954069873E-2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2.2035645257679048E-2</v>
          </cell>
          <cell r="J23">
            <v>7.2457642311821502E-2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265.28326542682578</v>
          </cell>
          <cell r="J24">
            <v>6746.4018431461345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393.19566404745711</v>
          </cell>
          <cell r="I25">
            <v>-456.82681808084249</v>
          </cell>
          <cell r="J25">
            <v>-196.86219397147386</v>
          </cell>
        </row>
        <row r="26">
          <cell r="B26" t="str">
            <v>CO2_Q</v>
          </cell>
          <cell r="C26" t="str">
            <v>EQ_combalM</v>
          </cell>
          <cell r="D26" t="str">
            <v>-</v>
          </cell>
          <cell r="I26">
            <v>-456.20364930034037</v>
          </cell>
          <cell r="J26">
            <v>-200.7638844812256</v>
          </cell>
        </row>
        <row r="27">
          <cell r="B27" t="str">
            <v>CO2_R</v>
          </cell>
          <cell r="C27" t="str">
            <v>VAR_fout</v>
          </cell>
          <cell r="D27" t="str">
            <v>RHNM-SHLFOBR</v>
          </cell>
          <cell r="F27">
            <v>1.79353249928691E-3</v>
          </cell>
          <cell r="G27">
            <v>7.6383678097664998</v>
          </cell>
          <cell r="H27">
            <v>8.0209452287612404</v>
          </cell>
          <cell r="I27">
            <v>3.3327033669197199</v>
          </cell>
        </row>
        <row r="28">
          <cell r="B28" t="str">
            <v>CO2_R</v>
          </cell>
          <cell r="C28" t="str">
            <v>VAR_fout</v>
          </cell>
          <cell r="D28" t="str">
            <v>RHNS-SHNGAHP</v>
          </cell>
          <cell r="G28">
            <v>5.9408509667283402</v>
          </cell>
          <cell r="H28">
            <v>18.3645707064634</v>
          </cell>
          <cell r="I28">
            <v>28.602763910333898</v>
          </cell>
          <cell r="J28">
            <v>28.499316766772001</v>
          </cell>
        </row>
        <row r="29">
          <cell r="B29" t="str">
            <v>CO2_R</v>
          </cell>
          <cell r="C29" t="str">
            <v>VAR_fout</v>
          </cell>
          <cell r="D29" t="str">
            <v>RHNS-CHPGFC</v>
          </cell>
          <cell r="H29">
            <v>1.8669480256315599E-2</v>
          </cell>
          <cell r="I29">
            <v>6.4979504295457402E-2</v>
          </cell>
          <cell r="J29">
            <v>5.3038715851959101E-2</v>
          </cell>
        </row>
        <row r="30">
          <cell r="B30" t="str">
            <v>CO2_R</v>
          </cell>
          <cell r="C30" t="str">
            <v>VAR_fout</v>
          </cell>
          <cell r="D30" t="str">
            <v>RHES-CHPNGA</v>
          </cell>
          <cell r="E30">
            <v>4.1028273044605097</v>
          </cell>
          <cell r="F30">
            <v>1.6441742460759501</v>
          </cell>
          <cell r="G30">
            <v>0.94129941288892205</v>
          </cell>
          <cell r="H30">
            <v>0.31810042942773298</v>
          </cell>
          <cell r="I30">
            <v>0.69964457332311902</v>
          </cell>
          <cell r="J30">
            <v>0.29597891876642701</v>
          </cell>
        </row>
        <row r="31">
          <cell r="B31" t="str">
            <v>CO2_R</v>
          </cell>
          <cell r="C31" t="str">
            <v>VAR_fout</v>
          </cell>
          <cell r="D31" t="str">
            <v>RHEM-CHPGFC</v>
          </cell>
          <cell r="H31">
            <v>4.1111432137134397E-2</v>
          </cell>
          <cell r="I31">
            <v>3.08230162393673</v>
          </cell>
          <cell r="J31">
            <v>11.4120476796034</v>
          </cell>
        </row>
        <row r="32">
          <cell r="B32" t="str">
            <v>CO2_R</v>
          </cell>
          <cell r="C32" t="str">
            <v>VAR_fout</v>
          </cell>
          <cell r="D32" t="str">
            <v>RHEM-SHNGABR</v>
          </cell>
          <cell r="E32">
            <v>1127.96340108448</v>
          </cell>
          <cell r="F32">
            <v>1144.47743322731</v>
          </cell>
          <cell r="G32">
            <v>1234.1981182699301</v>
          </cell>
          <cell r="H32">
            <v>803.606771960949</v>
          </cell>
          <cell r="I32">
            <v>113.76014501017499</v>
          </cell>
          <cell r="J32">
            <v>40.110630067192901</v>
          </cell>
        </row>
        <row r="33">
          <cell r="B33" t="str">
            <v>CO2_R</v>
          </cell>
          <cell r="C33" t="str">
            <v>VAR_fout</v>
          </cell>
          <cell r="D33" t="str">
            <v>RHSA-WHNGAHP</v>
          </cell>
          <cell r="G33">
            <v>24.4350840499106</v>
          </cell>
          <cell r="H33">
            <v>50.760533913348198</v>
          </cell>
          <cell r="I33">
            <v>79.675222410401503</v>
          </cell>
          <cell r="J33">
            <v>65.570019558240801</v>
          </cell>
        </row>
        <row r="34">
          <cell r="B34" t="str">
            <v>CO2_R</v>
          </cell>
          <cell r="C34" t="str">
            <v>VAR_fout</v>
          </cell>
          <cell r="D34" t="str">
            <v>RHEM-SHLFOBR</v>
          </cell>
          <cell r="E34">
            <v>1928.7107298824801</v>
          </cell>
          <cell r="F34">
            <v>1569.6607654058801</v>
          </cell>
          <cell r="G34">
            <v>1654.7507234331199</v>
          </cell>
          <cell r="H34">
            <v>770.59815230535298</v>
          </cell>
          <cell r="I34">
            <v>105.679506288418</v>
          </cell>
          <cell r="J34">
            <v>6.7015959761963799</v>
          </cell>
        </row>
        <row r="35">
          <cell r="B35" t="str">
            <v>CO2_R</v>
          </cell>
          <cell r="C35" t="str">
            <v>VAR_fout</v>
          </cell>
          <cell r="D35" t="str">
            <v>RHES-SHNGAHP</v>
          </cell>
          <cell r="G35">
            <v>48.192949344455002</v>
          </cell>
          <cell r="H35">
            <v>47.117413514625802</v>
          </cell>
          <cell r="I35">
            <v>39.141876225536699</v>
          </cell>
          <cell r="J35">
            <v>27.664883373449801</v>
          </cell>
        </row>
        <row r="36">
          <cell r="B36" t="str">
            <v>CO2_R</v>
          </cell>
          <cell r="C36" t="str">
            <v>VAR_fout</v>
          </cell>
          <cell r="D36" t="str">
            <v>RHNS-SHNGABR</v>
          </cell>
          <cell r="F36">
            <v>6.0646739768914699</v>
          </cell>
          <cell r="G36">
            <v>0.99571629985199195</v>
          </cell>
          <cell r="H36">
            <v>1.47429953340275</v>
          </cell>
          <cell r="I36">
            <v>1.8794711253057199</v>
          </cell>
          <cell r="J36">
            <v>1.52942059908752</v>
          </cell>
        </row>
        <row r="37">
          <cell r="B37" t="str">
            <v>CO2_R</v>
          </cell>
          <cell r="C37" t="str">
            <v>VAR_fout</v>
          </cell>
          <cell r="D37" t="str">
            <v>RHNS-SHLFOBR</v>
          </cell>
          <cell r="F37">
            <v>6.4473378757238303E-3</v>
          </cell>
          <cell r="G37">
            <v>2.7306127904109898</v>
          </cell>
          <cell r="H37">
            <v>3.0135998014264</v>
          </cell>
          <cell r="I37">
            <v>2.14936705604301</v>
          </cell>
        </row>
        <row r="38">
          <cell r="B38" t="str">
            <v>CO2_R</v>
          </cell>
          <cell r="C38" t="str">
            <v>VAR_fout</v>
          </cell>
          <cell r="D38" t="str">
            <v>RHES-CHPGFC</v>
          </cell>
          <cell r="H38">
            <v>1.8572682170169202E-2</v>
          </cell>
          <cell r="I38">
            <v>6.3990630510541005E-2</v>
          </cell>
          <cell r="J38">
            <v>5.3825982790444801E-2</v>
          </cell>
        </row>
        <row r="39">
          <cell r="B39" t="str">
            <v>CO2_R</v>
          </cell>
          <cell r="C39" t="str">
            <v>VAR_fout</v>
          </cell>
          <cell r="D39" t="str">
            <v>RHNM-CHPNGA</v>
          </cell>
          <cell r="F39">
            <v>0.26406510459874599</v>
          </cell>
          <cell r="G39">
            <v>0.68942755126532396</v>
          </cell>
          <cell r="H39">
            <v>0.15754553797264101</v>
          </cell>
          <cell r="I39">
            <v>138.56501528528301</v>
          </cell>
          <cell r="J39">
            <v>83.339453648060001</v>
          </cell>
        </row>
        <row r="40">
          <cell r="B40" t="str">
            <v>CO2_R</v>
          </cell>
          <cell r="C40" t="str">
            <v>VAR_fout</v>
          </cell>
          <cell r="D40" t="str">
            <v>RHNM-SHNGAHP</v>
          </cell>
          <cell r="G40">
            <v>7.3496336605870596</v>
          </cell>
          <cell r="H40">
            <v>19.853996188701501</v>
          </cell>
          <cell r="I40">
            <v>31.291077108515999</v>
          </cell>
          <cell r="J40">
            <v>30.683425509721399</v>
          </cell>
        </row>
        <row r="41">
          <cell r="B41" t="str">
            <v>CO2_R</v>
          </cell>
          <cell r="C41" t="str">
            <v>VAR_fout</v>
          </cell>
          <cell r="D41" t="str">
            <v>RHES-SHNGABR</v>
          </cell>
          <cell r="E41">
            <v>1043.1353884638399</v>
          </cell>
          <cell r="F41">
            <v>1112.75518066276</v>
          </cell>
          <cell r="G41">
            <v>629.43603950174895</v>
          </cell>
          <cell r="H41">
            <v>407.47784456589602</v>
          </cell>
          <cell r="I41">
            <v>97.843701391807201</v>
          </cell>
          <cell r="J41">
            <v>43.346527225044298</v>
          </cell>
        </row>
        <row r="42">
          <cell r="B42" t="str">
            <v>CO2_R</v>
          </cell>
          <cell r="C42" t="str">
            <v>VAR_fout</v>
          </cell>
          <cell r="D42" t="str">
            <v>RHSA-WHNGABR</v>
          </cell>
          <cell r="E42">
            <v>479.81014909048201</v>
          </cell>
          <cell r="F42">
            <v>414.488124251844</v>
          </cell>
          <cell r="G42">
            <v>529.92720625453899</v>
          </cell>
          <cell r="H42">
            <v>295.58853730317003</v>
          </cell>
          <cell r="I42">
            <v>78.1307439951281</v>
          </cell>
          <cell r="J42">
            <v>34.788728907002103</v>
          </cell>
        </row>
        <row r="43">
          <cell r="B43" t="str">
            <v>CO2_R</v>
          </cell>
          <cell r="C43" t="str">
            <v>VAR_fout</v>
          </cell>
          <cell r="D43" t="str">
            <v>RHSA-WHLFOBR</v>
          </cell>
          <cell r="E43">
            <v>726.712632794657</v>
          </cell>
          <cell r="F43">
            <v>571.64686529251901</v>
          </cell>
          <cell r="G43">
            <v>634.48665194706098</v>
          </cell>
          <cell r="H43">
            <v>249.18573648740701</v>
          </cell>
          <cell r="I43">
            <v>52.110655961539003</v>
          </cell>
          <cell r="J43">
            <v>2.10589334829546</v>
          </cell>
        </row>
        <row r="44">
          <cell r="B44" t="str">
            <v>CO2_R</v>
          </cell>
          <cell r="C44" t="str">
            <v>VAR_fout</v>
          </cell>
          <cell r="D44" t="str">
            <v>RHES-SHLFOBR</v>
          </cell>
          <cell r="E44">
            <v>1783.6628577896399</v>
          </cell>
          <cell r="F44">
            <v>1640.96949046943</v>
          </cell>
          <cell r="G44">
            <v>1194.1898145361499</v>
          </cell>
          <cell r="H44">
            <v>508.922988883855</v>
          </cell>
          <cell r="I44">
            <v>55.802131356571898</v>
          </cell>
          <cell r="J44">
            <v>3.8507527926656899</v>
          </cell>
        </row>
        <row r="45">
          <cell r="B45" t="str">
            <v>CO2_R</v>
          </cell>
          <cell r="C45" t="str">
            <v>VAR_fout</v>
          </cell>
          <cell r="D45" t="str">
            <v>RHNS-CHPNGA</v>
          </cell>
          <cell r="F45">
            <v>0.111118809255303</v>
          </cell>
          <cell r="G45">
            <v>0.37062138712058301</v>
          </cell>
          <cell r="H45">
            <v>0.15610950864574</v>
          </cell>
          <cell r="I45">
            <v>0.59070884409978996</v>
          </cell>
          <cell r="J45">
            <v>0.314714834880302</v>
          </cell>
        </row>
        <row r="46">
          <cell r="B46" t="str">
            <v>CO2_R</v>
          </cell>
          <cell r="C46" t="str">
            <v>VAR_fout</v>
          </cell>
          <cell r="D46" t="str">
            <v>RHNM-CHPGFC</v>
          </cell>
          <cell r="H46">
            <v>4.2185743157732797E-2</v>
          </cell>
          <cell r="I46">
            <v>3.0826301642085001</v>
          </cell>
          <cell r="J46">
            <v>11.3796883613453</v>
          </cell>
        </row>
        <row r="47">
          <cell r="B47" t="str">
            <v>CO2_R</v>
          </cell>
          <cell r="C47" t="str">
            <v>VAR_fout</v>
          </cell>
          <cell r="D47" t="str">
            <v>RHEM-CHPNGA</v>
          </cell>
          <cell r="E47">
            <v>6.4960939600719803</v>
          </cell>
          <cell r="F47">
            <v>0.25904424626378397</v>
          </cell>
          <cell r="G47">
            <v>0.82086818311026999</v>
          </cell>
          <cell r="H47">
            <v>0.26468205060922201</v>
          </cell>
          <cell r="I47">
            <v>138.37901433441399</v>
          </cell>
          <cell r="J47">
            <v>83.587443867814798</v>
          </cell>
        </row>
        <row r="48">
          <cell r="B48" t="str">
            <v>CO2_R</v>
          </cell>
          <cell r="C48" t="str">
            <v>VAR_fout</v>
          </cell>
          <cell r="D48" t="str">
            <v>RHES-SHCOABR</v>
          </cell>
          <cell r="E48">
            <v>9.2700779640888502</v>
          </cell>
          <cell r="F48">
            <v>9.2699703994364704</v>
          </cell>
          <cell r="G48">
            <v>2.4015047353697399</v>
          </cell>
        </row>
        <row r="49">
          <cell r="B49" t="str">
            <v>CO2_R</v>
          </cell>
          <cell r="C49" t="str">
            <v>VAR_fout</v>
          </cell>
          <cell r="D49" t="str">
            <v>RHEM-SHNGAHP</v>
          </cell>
          <cell r="G49">
            <v>57.718309457739899</v>
          </cell>
          <cell r="H49">
            <v>112.296755936088</v>
          </cell>
          <cell r="I49">
            <v>155.28540262963</v>
          </cell>
          <cell r="J49">
            <v>109.843434210805</v>
          </cell>
        </row>
        <row r="50">
          <cell r="B50" t="str">
            <v>CO2_R</v>
          </cell>
          <cell r="C50" t="str">
            <v>VAR_fout</v>
          </cell>
          <cell r="D50" t="str">
            <v>RHNM-SHNGABR</v>
          </cell>
          <cell r="F50">
            <v>43.099213992644103</v>
          </cell>
          <cell r="G50">
            <v>0.137318210666868</v>
          </cell>
          <cell r="H50">
            <v>0.45096905040872598</v>
          </cell>
        </row>
        <row r="51">
          <cell r="B51" t="str">
            <v>CO2_R</v>
          </cell>
          <cell r="C51" t="str">
            <v>VAR_comnet</v>
          </cell>
          <cell r="D51" t="str">
            <v>-</v>
          </cell>
          <cell r="E51">
            <v>7109.8641583342096</v>
          </cell>
          <cell r="F51">
            <v>6514.7183609552803</v>
          </cell>
          <cell r="G51">
            <v>6037.35111780242</v>
          </cell>
          <cell r="H51">
            <v>3297.75009224423</v>
          </cell>
          <cell r="I51">
            <v>1129.2130527964</v>
          </cell>
          <cell r="J51">
            <v>585.13082034358501</v>
          </cell>
        </row>
        <row r="52">
          <cell r="B52" t="str">
            <v>CO2_S</v>
          </cell>
          <cell r="C52" t="str">
            <v>VAR_fout</v>
          </cell>
          <cell r="D52" t="str">
            <v>SCOM-SHNGAHP</v>
          </cell>
          <cell r="G52">
            <v>61.872602757601101</v>
          </cell>
          <cell r="H52">
            <v>117.63541009437</v>
          </cell>
          <cell r="I52">
            <v>168.276806579256</v>
          </cell>
          <cell r="J52">
            <v>128.456008222436</v>
          </cell>
        </row>
        <row r="53">
          <cell r="B53" t="str">
            <v>CO2_S</v>
          </cell>
          <cell r="C53" t="str">
            <v>VAR_fout</v>
          </cell>
          <cell r="D53" t="str">
            <v>SCOM-CHPNGA</v>
          </cell>
          <cell r="E53">
            <v>94.121672545737596</v>
          </cell>
          <cell r="F53">
            <v>98.073481584001101</v>
          </cell>
          <cell r="G53">
            <v>0.57097112347489998</v>
          </cell>
          <cell r="H53">
            <v>9.69936186129743E-2</v>
          </cell>
          <cell r="I53">
            <v>1.29145940793298</v>
          </cell>
          <cell r="J53">
            <v>6.9638559211543605E-2</v>
          </cell>
        </row>
        <row r="54">
          <cell r="B54" t="str">
            <v>CO2_S</v>
          </cell>
          <cell r="C54" t="str">
            <v>VAR_fout</v>
          </cell>
          <cell r="D54" t="str">
            <v>SCOM-SHNGABR</v>
          </cell>
          <cell r="E54">
            <v>1440.94609312227</v>
          </cell>
          <cell r="F54">
            <v>1508.6877201622201</v>
          </cell>
          <cell r="G54">
            <v>1204.43685364053</v>
          </cell>
          <cell r="H54">
            <v>744.103155980476</v>
          </cell>
          <cell r="I54">
            <v>126.092027479739</v>
          </cell>
          <cell r="J54">
            <v>53.789457511592602</v>
          </cell>
        </row>
        <row r="55">
          <cell r="B55" t="str">
            <v>CO2_S</v>
          </cell>
          <cell r="C55" t="str">
            <v>VAR_fout</v>
          </cell>
          <cell r="D55" t="str">
            <v>SCOM-CHPGFC</v>
          </cell>
          <cell r="H55">
            <v>1.9820402976777101E-2</v>
          </cell>
          <cell r="I55">
            <v>0.59868660722695499</v>
          </cell>
          <cell r="J55">
            <v>5.6293707442140803</v>
          </cell>
        </row>
        <row r="56">
          <cell r="B56" t="str">
            <v>CO2_S</v>
          </cell>
          <cell r="C56" t="str">
            <v>VAR_fout</v>
          </cell>
          <cell r="D56" t="str">
            <v>SCOM-SHLFOBR</v>
          </cell>
          <cell r="E56">
            <v>2229.91412733173</v>
          </cell>
          <cell r="F56">
            <v>1867.07474722918</v>
          </cell>
          <cell r="G56">
            <v>1802.38423638267</v>
          </cell>
          <cell r="H56">
            <v>904.49757359581895</v>
          </cell>
          <cell r="I56">
            <v>174.574437103203</v>
          </cell>
          <cell r="J56">
            <v>5.83932506654366</v>
          </cell>
        </row>
        <row r="57">
          <cell r="B57" t="str">
            <v>CO2_S</v>
          </cell>
          <cell r="C57" t="str">
            <v>VAR_comnet</v>
          </cell>
          <cell r="D57" t="str">
            <v>-</v>
          </cell>
          <cell r="E57">
            <v>3764.98189299973</v>
          </cell>
          <cell r="F57">
            <v>3473.8359489753998</v>
          </cell>
          <cell r="G57">
            <v>3069.26466390428</v>
          </cell>
          <cell r="H57">
            <v>1766.3529536922499</v>
          </cell>
          <cell r="I57">
            <v>470.833417177358</v>
          </cell>
          <cell r="J57">
            <v>193.783800103998</v>
          </cell>
        </row>
        <row r="58">
          <cell r="B58" t="str">
            <v>CO2_T</v>
          </cell>
          <cell r="C58" t="str">
            <v>VAR_fout</v>
          </cell>
          <cell r="D58" t="str">
            <v>T_B_u-ICENGAEXT</v>
          </cell>
          <cell r="E58">
            <v>1.7792928741170701E-2</v>
          </cell>
          <cell r="F58">
            <v>1.7896437988843401E-2</v>
          </cell>
          <cell r="G58">
            <v>1.7838028694553899E-2</v>
          </cell>
        </row>
        <row r="59">
          <cell r="B59" t="str">
            <v>CO2_T</v>
          </cell>
          <cell r="C59" t="str">
            <v>VAR_fout</v>
          </cell>
          <cell r="D59" t="str">
            <v>TFHGV-ICENGA</v>
          </cell>
          <cell r="E59">
            <v>3.5183976095030856</v>
          </cell>
          <cell r="F59">
            <v>1.4562694007959303</v>
          </cell>
          <cell r="G59">
            <v>1.4727518198340885</v>
          </cell>
          <cell r="H59">
            <v>1.4124192731879321</v>
          </cell>
          <cell r="I59">
            <v>1.2996293393168719</v>
          </cell>
          <cell r="J59">
            <v>1.209593370704986</v>
          </cell>
        </row>
        <row r="60">
          <cell r="B60" t="str">
            <v>CO2_T</v>
          </cell>
          <cell r="C60" t="str">
            <v>VAR_fout</v>
          </cell>
          <cell r="D60" t="str">
            <v>T-Plg-GSL-mix_S1</v>
          </cell>
          <cell r="E60">
            <v>2.2076163519432802E-2</v>
          </cell>
          <cell r="F60">
            <v>8.5776891665492794E-2</v>
          </cell>
          <cell r="G60">
            <v>0.1050081805039295</v>
          </cell>
          <cell r="H60">
            <v>0.1044736669028308</v>
          </cell>
          <cell r="I60">
            <v>8.4208644780849301E-2</v>
          </cell>
          <cell r="J60">
            <v>3.8099316952727127E-2</v>
          </cell>
        </row>
        <row r="61">
          <cell r="B61" t="str">
            <v>CO2_T</v>
          </cell>
          <cell r="C61" t="str">
            <v>VAR_fout</v>
          </cell>
          <cell r="D61" t="str">
            <v>T-Plg-GSL-mix_S2</v>
          </cell>
          <cell r="E61">
            <v>6.2780622500146102</v>
          </cell>
          <cell r="F61">
            <v>12.07316267380917</v>
          </cell>
          <cell r="G61">
            <v>8.2140661501196792</v>
          </cell>
          <cell r="H61">
            <v>7.60374345770777</v>
          </cell>
          <cell r="I61">
            <v>2.3565765082570818</v>
          </cell>
          <cell r="J61">
            <v>0.59953055366577745</v>
          </cell>
        </row>
        <row r="62">
          <cell r="B62" t="str">
            <v>CO2_T</v>
          </cell>
          <cell r="C62" t="str">
            <v>VAR_fout</v>
          </cell>
          <cell r="D62" t="str">
            <v>T-Plg-GSL-mix_S3</v>
          </cell>
          <cell r="E62">
            <v>6.6713561034914903</v>
          </cell>
          <cell r="F62">
            <v>17.674045904629118</v>
          </cell>
          <cell r="G62">
            <v>89.963947485091609</v>
          </cell>
          <cell r="H62">
            <v>168.30328906029951</v>
          </cell>
          <cell r="I62">
            <v>309.75201045769677</v>
          </cell>
          <cell r="J62">
            <v>298.24905676927398</v>
          </cell>
        </row>
        <row r="63">
          <cell r="B63" t="str">
            <v>CO2_T</v>
          </cell>
          <cell r="C63" t="str">
            <v>VAR_fout</v>
          </cell>
          <cell r="D63" t="str">
            <v>T-Plg-GSL-mix_S4</v>
          </cell>
          <cell r="E63">
            <v>12.5211744108458</v>
          </cell>
          <cell r="F63">
            <v>22.321360074087099</v>
          </cell>
          <cell r="G63">
            <v>21.455605705796799</v>
          </cell>
          <cell r="H63">
            <v>13.107614792096815</v>
          </cell>
          <cell r="I63">
            <v>0.91094696980292533</v>
          </cell>
          <cell r="J63">
            <v>0.25738719271745841</v>
          </cell>
        </row>
        <row r="64">
          <cell r="B64" t="str">
            <v>CO2_T</v>
          </cell>
          <cell r="C64" t="str">
            <v>VAR_fout</v>
          </cell>
          <cell r="D64" t="str">
            <v>TFLGV-HYBDSL</v>
          </cell>
          <cell r="F64">
            <v>31.520075074831901</v>
          </cell>
          <cell r="G64">
            <v>140.4684442025497</v>
          </cell>
          <cell r="H64">
            <v>220.7468343334443</v>
          </cell>
          <cell r="I64">
            <v>175.94148274867669</v>
          </cell>
          <cell r="J64">
            <v>207.07865689292481</v>
          </cell>
        </row>
        <row r="65">
          <cell r="B65" t="str">
            <v>CO2_T</v>
          </cell>
          <cell r="C65" t="str">
            <v>VAR_fout</v>
          </cell>
          <cell r="D65" t="str">
            <v>TFLGV-ICEGSLExt</v>
          </cell>
          <cell r="E65">
            <v>61.563226699518701</v>
          </cell>
          <cell r="F65">
            <v>129.424932900963</v>
          </cell>
          <cell r="G65">
            <v>40.090936432563801</v>
          </cell>
          <cell r="H65">
            <v>19.9905984190049</v>
          </cell>
        </row>
        <row r="66">
          <cell r="B66" t="str">
            <v>CO2_T</v>
          </cell>
          <cell r="C66" t="str">
            <v>VAR_fout</v>
          </cell>
          <cell r="D66" t="str">
            <v>TFLGV-ICEDSLExt</v>
          </cell>
          <cell r="E66">
            <v>794.10994830742595</v>
          </cell>
          <cell r="F66">
            <v>545.34209176768695</v>
          </cell>
          <cell r="G66">
            <v>399.65497949061</v>
          </cell>
          <cell r="H66">
            <v>199.76585600611</v>
          </cell>
        </row>
        <row r="67">
          <cell r="B67" t="str">
            <v>CO2_T</v>
          </cell>
          <cell r="C67" t="str">
            <v>VAR_fout</v>
          </cell>
          <cell r="D67" t="str">
            <v>T_C-ICE-NGA-S1</v>
          </cell>
          <cell r="E67">
            <v>0.20082241712695417</v>
          </cell>
          <cell r="F67">
            <v>0.22193537096076366</v>
          </cell>
          <cell r="G67">
            <v>0.16837953737384631</v>
          </cell>
          <cell r="H67">
            <v>1.0239696538259591E-2</v>
          </cell>
          <cell r="I67">
            <v>3.6260826887561585E-3</v>
          </cell>
          <cell r="J67">
            <v>9.4617137413686102E-4</v>
          </cell>
        </row>
        <row r="68">
          <cell r="B68" t="str">
            <v>CO2_T</v>
          </cell>
          <cell r="C68" t="str">
            <v>VAR_fout</v>
          </cell>
          <cell r="D68" t="str">
            <v>T_C-ICE-NGA-S2</v>
          </cell>
          <cell r="E68">
            <v>2.6903723928875021</v>
          </cell>
          <cell r="F68">
            <v>2.6990777039390621</v>
          </cell>
          <cell r="G68">
            <v>1.9609263403725228</v>
          </cell>
          <cell r="H68">
            <v>9.9243886233972584E-3</v>
          </cell>
          <cell r="I68">
            <v>8.6023004627921573E-3</v>
          </cell>
          <cell r="J68">
            <v>2.2264628143585301E-3</v>
          </cell>
        </row>
        <row r="69">
          <cell r="B69" t="str">
            <v>CO2_T</v>
          </cell>
          <cell r="C69" t="str">
            <v>VAR_fout</v>
          </cell>
          <cell r="D69" t="str">
            <v>TFLGV-ICEDSL</v>
          </cell>
          <cell r="E69">
            <v>325.7759058504177</v>
          </cell>
          <cell r="F69">
            <v>384.72093803002861</v>
          </cell>
          <cell r="G69">
            <v>368.77949628513636</v>
          </cell>
          <cell r="H69">
            <v>153.12301440425182</v>
          </cell>
          <cell r="I69">
            <v>0.32360935303871446</v>
          </cell>
          <cell r="J69">
            <v>7.6859474534067301E-2</v>
          </cell>
        </row>
        <row r="70">
          <cell r="B70" t="str">
            <v>CO2_T</v>
          </cell>
          <cell r="C70" t="str">
            <v>VAR_fout</v>
          </cell>
          <cell r="D70" t="str">
            <v>T_C-ICE-NGA-S3</v>
          </cell>
          <cell r="E70">
            <v>0.24101375848920298</v>
          </cell>
          <cell r="F70">
            <v>0.27554031019214825</v>
          </cell>
          <cell r="G70">
            <v>0.27367126287874199</v>
          </cell>
          <cell r="H70">
            <v>3.1366182026846982E-2</v>
          </cell>
          <cell r="I70">
            <v>1.2538096130074821E-2</v>
          </cell>
          <cell r="J70">
            <v>3.2788160990822198E-3</v>
          </cell>
        </row>
        <row r="71">
          <cell r="B71" t="str">
            <v>CO2_T</v>
          </cell>
          <cell r="C71" t="str">
            <v>VAR_fout</v>
          </cell>
          <cell r="D71" t="str">
            <v>T_C-ICE-NGA-S4</v>
          </cell>
          <cell r="E71">
            <v>2.7168759741642576</v>
          </cell>
          <cell r="F71">
            <v>2.6625338268928576</v>
          </cell>
          <cell r="G71">
            <v>2.4790218788344527</v>
          </cell>
          <cell r="H71">
            <v>6.3909393644181883E-3</v>
          </cell>
          <cell r="I71">
            <v>1.1300144330170984E-2</v>
          </cell>
          <cell r="J71">
            <v>2.9296829849014099E-3</v>
          </cell>
        </row>
        <row r="72">
          <cell r="B72" t="str">
            <v>CO2_T</v>
          </cell>
          <cell r="C72" t="str">
            <v>VAR_fout</v>
          </cell>
          <cell r="D72" t="str">
            <v>T_C-MHY-GSL-S1</v>
          </cell>
          <cell r="F72">
            <v>2.6169790977592901E-2</v>
          </cell>
          <cell r="G72">
            <v>0.1308205252790402</v>
          </cell>
          <cell r="H72">
            <v>0.26636966224883246</v>
          </cell>
          <cell r="I72">
            <v>0.13128287183303641</v>
          </cell>
          <cell r="J72">
            <v>2.4600773821242271E-2</v>
          </cell>
        </row>
        <row r="73">
          <cell r="B73" t="str">
            <v>CO2_T</v>
          </cell>
          <cell r="C73" t="str">
            <v>VAR_fout</v>
          </cell>
          <cell r="D73" t="str">
            <v>T_C-MHY-GSL-S2</v>
          </cell>
          <cell r="F73">
            <v>2.1272984844353901E-2</v>
          </cell>
          <cell r="G73">
            <v>7.4825596525352603E-2</v>
          </cell>
          <cell r="H73">
            <v>0.1900523417094975</v>
          </cell>
          <cell r="I73">
            <v>0.15190531628249224</v>
          </cell>
          <cell r="J73">
            <v>4.1132592119016098E-2</v>
          </cell>
        </row>
        <row r="74">
          <cell r="B74" t="str">
            <v>CO2_T</v>
          </cell>
          <cell r="C74" t="str">
            <v>VAR_fout</v>
          </cell>
          <cell r="D74" t="str">
            <v>T_C-MHY-DSL-S1</v>
          </cell>
          <cell r="F74">
            <v>2.89090577173968E-2</v>
          </cell>
          <cell r="G74">
            <v>8.6114358511999611E-2</v>
          </cell>
          <cell r="H74">
            <v>0.2476013473170624</v>
          </cell>
          <cell r="I74">
            <v>0.17515022418153112</v>
          </cell>
          <cell r="J74">
            <v>4.5601173846133568E-2</v>
          </cell>
        </row>
        <row r="75">
          <cell r="B75" t="str">
            <v>CO2_T</v>
          </cell>
          <cell r="C75" t="str">
            <v>VAR_fout</v>
          </cell>
          <cell r="D75" t="str">
            <v>T_C-MHY-GSL-S3</v>
          </cell>
          <cell r="F75">
            <v>2.7319258905768098E-2</v>
          </cell>
          <cell r="G75">
            <v>0.12130913719773281</v>
          </cell>
          <cell r="H75">
            <v>0.2316453409324867</v>
          </cell>
          <cell r="I75">
            <v>0.1758951875340708</v>
          </cell>
          <cell r="J75">
            <v>4.2882965351779906E-2</v>
          </cell>
        </row>
        <row r="76">
          <cell r="B76" t="str">
            <v>CO2_T</v>
          </cell>
          <cell r="C76" t="str">
            <v>VAR_fout</v>
          </cell>
          <cell r="D76" t="str">
            <v>T_C-MHY-DSL-S2</v>
          </cell>
          <cell r="F76">
            <v>2.2454099054459199E-2</v>
          </cell>
          <cell r="G76">
            <v>7.0143063574985606E-2</v>
          </cell>
          <cell r="H76">
            <v>0.21409273428393999</v>
          </cell>
          <cell r="I76">
            <v>0.20115449726208706</v>
          </cell>
          <cell r="J76">
            <v>6.0232563416045604E-2</v>
          </cell>
        </row>
        <row r="77">
          <cell r="B77" t="str">
            <v>CO2_T</v>
          </cell>
          <cell r="C77" t="str">
            <v>VAR_fout</v>
          </cell>
          <cell r="D77" t="str">
            <v>T_C-MHY-GSL-S4</v>
          </cell>
          <cell r="F77">
            <v>3.00390233764537E-2</v>
          </cell>
          <cell r="G77">
            <v>0.20170644651037919</v>
          </cell>
          <cell r="H77">
            <v>0.59639244469221597</v>
          </cell>
          <cell r="I77">
            <v>0.6260766506149007</v>
          </cell>
          <cell r="J77">
            <v>0.20060482020323081</v>
          </cell>
        </row>
        <row r="78">
          <cell r="B78" t="str">
            <v>CO2_T</v>
          </cell>
          <cell r="C78" t="str">
            <v>VAR_fout</v>
          </cell>
          <cell r="D78" t="str">
            <v>T_C-MHY-DSL-S3</v>
          </cell>
          <cell r="F78">
            <v>2.9305620707541401E-2</v>
          </cell>
          <cell r="G78">
            <v>0.11571403951279441</v>
          </cell>
          <cell r="H78">
            <v>0.23425253941264459</v>
          </cell>
          <cell r="I78">
            <v>0.21079291378669585</v>
          </cell>
          <cell r="J78">
            <v>5.9383320399328102E-2</v>
          </cell>
        </row>
        <row r="79">
          <cell r="B79" t="str">
            <v>CO2_T</v>
          </cell>
          <cell r="C79" t="str">
            <v>VAR_fout</v>
          </cell>
          <cell r="D79" t="str">
            <v>T_B_c-HYBDSL-S1</v>
          </cell>
          <cell r="F79">
            <v>0.25696051774967699</v>
          </cell>
          <cell r="G79">
            <v>0.45903922837541999</v>
          </cell>
          <cell r="H79">
            <v>1.5533212389081541</v>
          </cell>
          <cell r="I79">
            <v>2.1133347552797721</v>
          </cell>
          <cell r="J79">
            <v>5.0824796926787235</v>
          </cell>
        </row>
        <row r="80">
          <cell r="B80" t="str">
            <v>CO2_T</v>
          </cell>
          <cell r="C80" t="str">
            <v>VAR_fout</v>
          </cell>
          <cell r="D80" t="str">
            <v>T_C-MHY-DSL-S4</v>
          </cell>
          <cell r="F80">
            <v>2.25497698051613E-2</v>
          </cell>
          <cell r="G80">
            <v>7.4888508670580098E-2</v>
          </cell>
          <cell r="H80">
            <v>0.1238925600931107</v>
          </cell>
          <cell r="I80">
            <v>0.11534283977598811</v>
          </cell>
          <cell r="J80">
            <v>3.5190686150142467E-2</v>
          </cell>
        </row>
        <row r="81">
          <cell r="B81" t="str">
            <v>CO2_T</v>
          </cell>
          <cell r="C81" t="str">
            <v>VAR_fout</v>
          </cell>
          <cell r="D81" t="str">
            <v>T_B_c-HYBDSL-S2</v>
          </cell>
          <cell r="F81">
            <v>3.7300324493138297E-2</v>
          </cell>
          <cell r="G81">
            <v>0.83222005107491781</v>
          </cell>
          <cell r="H81">
            <v>8.0064535935545234</v>
          </cell>
          <cell r="I81">
            <v>6.777642416176664</v>
          </cell>
          <cell r="J81">
            <v>2.7331677761052138</v>
          </cell>
        </row>
        <row r="82">
          <cell r="B82" t="str">
            <v>CO2_T</v>
          </cell>
          <cell r="C82" t="str">
            <v>VAR_fout</v>
          </cell>
          <cell r="D82" t="str">
            <v>T_B_c-HYBDSL-S3</v>
          </cell>
          <cell r="F82">
            <v>2.25800218612945E-2</v>
          </cell>
          <cell r="G82">
            <v>0.19637693312417298</v>
          </cell>
          <cell r="H82">
            <v>9.8840138532150377</v>
          </cell>
          <cell r="I82">
            <v>8.7746177844300206</v>
          </cell>
          <cell r="J82">
            <v>2.2442780691521427</v>
          </cell>
        </row>
        <row r="83">
          <cell r="B83" t="str">
            <v>CO2_T</v>
          </cell>
          <cell r="C83" t="str">
            <v>VAR_fout</v>
          </cell>
          <cell r="D83" t="str">
            <v>T_B_c-HYBDSL-S4</v>
          </cell>
          <cell r="F83">
            <v>4.1228127758423496E-3</v>
          </cell>
          <cell r="G83">
            <v>7.9505512610871503E-3</v>
          </cell>
          <cell r="H83">
            <v>5.7615127237062242E-3</v>
          </cell>
          <cell r="I83">
            <v>8.898961617476199E-3</v>
          </cell>
          <cell r="J83">
            <v>1.17114639292651E-3</v>
          </cell>
        </row>
        <row r="84">
          <cell r="B84" t="str">
            <v>CO2_T</v>
          </cell>
          <cell r="C84" t="str">
            <v>VAR_fout</v>
          </cell>
          <cell r="D84" t="str">
            <v>TFHGV-ICEDSLExt</v>
          </cell>
          <cell r="E84">
            <v>1410.20165655455</v>
          </cell>
          <cell r="F84">
            <v>1167.34212734526</v>
          </cell>
          <cell r="G84">
            <v>837.31804856853705</v>
          </cell>
          <cell r="H84">
            <v>356.905639272749</v>
          </cell>
        </row>
        <row r="85">
          <cell r="B85" t="str">
            <v>CO2_T</v>
          </cell>
          <cell r="C85" t="str">
            <v>VAR_fout</v>
          </cell>
          <cell r="D85" t="str">
            <v>TPSHPGSLEXT</v>
          </cell>
          <cell r="E85">
            <v>129.873812963153</v>
          </cell>
          <cell r="F85">
            <v>2.2876575233998402E-3</v>
          </cell>
          <cell r="G85">
            <v>1.0448821996045301E-2</v>
          </cell>
          <cell r="H85">
            <v>1.9688289485341601E-4</v>
          </cell>
          <cell r="I85">
            <v>2.3167140086578299E-2</v>
          </cell>
        </row>
        <row r="86">
          <cell r="B86" t="str">
            <v>CO2_T</v>
          </cell>
          <cell r="C86" t="str">
            <v>VAR_fout</v>
          </cell>
          <cell r="D86" t="str">
            <v>T_TW-ICEGSL-S1</v>
          </cell>
          <cell r="E86">
            <v>3.2599667787557771</v>
          </cell>
          <cell r="F86">
            <v>12.404350261163867</v>
          </cell>
          <cell r="G86">
            <v>25.218117339381003</v>
          </cell>
          <cell r="H86">
            <v>44.764207719526802</v>
          </cell>
          <cell r="I86">
            <v>65.455833693162845</v>
          </cell>
          <cell r="J86">
            <v>16.495882627189054</v>
          </cell>
        </row>
        <row r="87">
          <cell r="B87" t="str">
            <v>CO2_T</v>
          </cell>
          <cell r="C87" t="str">
            <v>VAR_fout</v>
          </cell>
          <cell r="D87" t="str">
            <v>TPSHPDSLEXT</v>
          </cell>
          <cell r="E87">
            <v>1273.9831592043399</v>
          </cell>
          <cell r="F87">
            <v>1040.4430336549699</v>
          </cell>
          <cell r="G87">
            <v>737.21928569199997</v>
          </cell>
          <cell r="H87">
            <v>4.91289828805721E-4</v>
          </cell>
          <cell r="I87">
            <v>1197.93565206882</v>
          </cell>
          <cell r="J87">
            <v>1197.8644198730799</v>
          </cell>
        </row>
        <row r="88">
          <cell r="B88" t="str">
            <v>CO2_T</v>
          </cell>
          <cell r="C88" t="str">
            <v>VAR_fout</v>
          </cell>
          <cell r="D88" t="str">
            <v>T_TW-ICEGSL-S2</v>
          </cell>
          <cell r="E88">
            <v>8.2648415432267104</v>
          </cell>
          <cell r="F88">
            <v>12.028947003220701</v>
          </cell>
          <cell r="G88">
            <v>12.016539698461546</v>
          </cell>
          <cell r="H88">
            <v>7.4996906491832824</v>
          </cell>
          <cell r="I88">
            <v>4.5582738574427552E-2</v>
          </cell>
          <cell r="J88">
            <v>2.2363408063144477E-2</v>
          </cell>
        </row>
        <row r="89">
          <cell r="B89" t="str">
            <v>CO2_T</v>
          </cell>
          <cell r="C89" t="str">
            <v>VAR_fout</v>
          </cell>
          <cell r="D89" t="str">
            <v>T_TW-ICEGSL-S3</v>
          </cell>
          <cell r="E89">
            <v>12.234880972059729</v>
          </cell>
          <cell r="F89">
            <v>14.59521598824208</v>
          </cell>
          <cell r="G89">
            <v>14.996411751647861</v>
          </cell>
          <cell r="H89">
            <v>14.527936194355934</v>
          </cell>
          <cell r="I89">
            <v>3.4213066604901159</v>
          </cell>
          <cell r="J89">
            <v>2.247310067659114E-2</v>
          </cell>
        </row>
        <row r="90">
          <cell r="B90" t="str">
            <v>CO2_T</v>
          </cell>
          <cell r="C90" t="str">
            <v>VAR_fout</v>
          </cell>
          <cell r="D90" t="str">
            <v>T_C-ICEGSLEXT</v>
          </cell>
          <cell r="E90">
            <v>4722.2889472300203</v>
          </cell>
          <cell r="F90">
            <v>4340.1259450204598</v>
          </cell>
          <cell r="G90">
            <v>3839.5679312277298</v>
          </cell>
          <cell r="H90">
            <v>812.91485783436303</v>
          </cell>
        </row>
        <row r="91">
          <cell r="B91" t="str">
            <v>CO2_T</v>
          </cell>
          <cell r="C91" t="str">
            <v>VAR_fout</v>
          </cell>
          <cell r="D91" t="str">
            <v>T_TW-ICEGSL-S4</v>
          </cell>
          <cell r="E91">
            <v>7.9503019531252299</v>
          </cell>
          <cell r="F91">
            <v>9.3143511006673432</v>
          </cell>
          <cell r="G91">
            <v>9.5545880802582541</v>
          </cell>
          <cell r="H91">
            <v>9.2893219151125255</v>
          </cell>
          <cell r="I91">
            <v>8.4741648609125697</v>
          </cell>
          <cell r="J91">
            <v>0.133348923979241</v>
          </cell>
        </row>
        <row r="92">
          <cell r="B92" t="str">
            <v>CO2_T</v>
          </cell>
          <cell r="C92" t="str">
            <v>VAR_fout</v>
          </cell>
          <cell r="D92" t="str">
            <v>T_C-ICEDSLEXT</v>
          </cell>
          <cell r="E92">
            <v>3821.2785795725399</v>
          </cell>
          <cell r="F92">
            <v>3569.77772928577</v>
          </cell>
          <cell r="G92">
            <v>2546.3089825183702</v>
          </cell>
          <cell r="H92">
            <v>1175.14223088983</v>
          </cell>
        </row>
        <row r="93">
          <cell r="B93" t="str">
            <v>CO2_T</v>
          </cell>
          <cell r="C93" t="str">
            <v>VAR_fout</v>
          </cell>
          <cell r="D93" t="str">
            <v>T_TW-ICEGSLEXT</v>
          </cell>
          <cell r="E93">
            <v>146.16569986328599</v>
          </cell>
          <cell r="F93">
            <v>111.390845937705</v>
          </cell>
          <cell r="G93">
            <v>76.484808509081304</v>
          </cell>
          <cell r="H93">
            <v>33.4355620269789</v>
          </cell>
        </row>
        <row r="94">
          <cell r="B94" t="str">
            <v>CO2_T</v>
          </cell>
          <cell r="C94" t="str">
            <v>VAR_fout</v>
          </cell>
          <cell r="D94" t="str">
            <v>TFLGV-ICENGA</v>
          </cell>
          <cell r="E94">
            <v>1.423729444748884</v>
          </cell>
          <cell r="F94">
            <v>1.3479363315025474</v>
          </cell>
          <cell r="G94">
            <v>1.7630096155487416</v>
          </cell>
          <cell r="H94">
            <v>7.9216059648724718E-3</v>
          </cell>
          <cell r="I94">
            <v>6.0737912832456876E-3</v>
          </cell>
          <cell r="J94">
            <v>5.8066841922650141E-3</v>
          </cell>
        </row>
        <row r="95">
          <cell r="B95" t="str">
            <v>CO2_T</v>
          </cell>
          <cell r="C95" t="str">
            <v>VAR_fout</v>
          </cell>
          <cell r="D95" t="str">
            <v>T_B_c-ICENGA-S1</v>
          </cell>
          <cell r="F95">
            <v>3.6315351546866097E-2</v>
          </cell>
          <cell r="G95">
            <v>9.8368280717482603E-2</v>
          </cell>
        </row>
        <row r="96">
          <cell r="B96" t="str">
            <v>CO2_T</v>
          </cell>
          <cell r="C96" t="str">
            <v>VAR_fout</v>
          </cell>
          <cell r="D96" t="str">
            <v>T_B_c-ICENGA-S2</v>
          </cell>
          <cell r="F96">
            <v>1.17532778380739E-2</v>
          </cell>
          <cell r="G96">
            <v>3.8299596240754297E-2</v>
          </cell>
        </row>
        <row r="97">
          <cell r="B97" t="str">
            <v>CO2_T</v>
          </cell>
          <cell r="C97" t="str">
            <v>VAR_fout</v>
          </cell>
          <cell r="D97" t="str">
            <v>T_B_u-ICEDSL-S1</v>
          </cell>
          <cell r="E97">
            <v>2.0585955068547813E-2</v>
          </cell>
          <cell r="F97">
            <v>16.552397945906261</v>
          </cell>
          <cell r="G97">
            <v>31.117822984400757</v>
          </cell>
          <cell r="H97">
            <v>2.9557767631213801E-3</v>
          </cell>
          <cell r="I97">
            <v>8.6263527548007907E-5</v>
          </cell>
        </row>
        <row r="98">
          <cell r="B98" t="str">
            <v>CO2_T</v>
          </cell>
          <cell r="C98" t="str">
            <v>VAR_fout</v>
          </cell>
          <cell r="D98" t="str">
            <v>T_B_c-ICENGA-S3</v>
          </cell>
          <cell r="F98">
            <v>9.0600626600304702E-3</v>
          </cell>
          <cell r="G98">
            <v>2.4327682292236898E-2</v>
          </cell>
        </row>
        <row r="99">
          <cell r="B99" t="str">
            <v>CO2_T</v>
          </cell>
          <cell r="C99" t="str">
            <v>VAR_fout</v>
          </cell>
          <cell r="D99" t="str">
            <v>T_B_u-ICEDSL-S2</v>
          </cell>
          <cell r="E99">
            <v>7.9944838852625395</v>
          </cell>
          <cell r="F99">
            <v>10.029376396633243</v>
          </cell>
          <cell r="G99">
            <v>16.355330396168419</v>
          </cell>
        </row>
        <row r="100">
          <cell r="B100" t="str">
            <v>CO2_T</v>
          </cell>
          <cell r="C100" t="str">
            <v>VAR_fout</v>
          </cell>
          <cell r="D100" t="str">
            <v>T_B_c-ICENGA-S4</v>
          </cell>
          <cell r="F100">
            <v>1.63661910036265E-3</v>
          </cell>
          <cell r="G100">
            <v>4.6125994069083302E-3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45.614457896533104</v>
          </cell>
          <cell r="F101">
            <v>63.823959185196806</v>
          </cell>
          <cell r="G101">
            <v>63.935539186564263</v>
          </cell>
          <cell r="I101">
            <v>1.9451039248552329E-3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0.31137116254870867</v>
          </cell>
          <cell r="F102">
            <v>1.7739010817571229E-2</v>
          </cell>
          <cell r="G102">
            <v>2.7440402761202954E-2</v>
          </cell>
          <cell r="I102">
            <v>2.3272134674553299E-3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7.8146569390998791E-3</v>
          </cell>
          <cell r="F103">
            <v>7.8187057693019004E-3</v>
          </cell>
          <cell r="G103">
            <v>7.7318704276887404E-3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1.2708548550255501</v>
          </cell>
          <cell r="F104">
            <v>1.26941935016247</v>
          </cell>
          <cell r="G104">
            <v>1.26439251123178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92.551509786012701</v>
          </cell>
          <cell r="F105">
            <v>91.724609116463199</v>
          </cell>
          <cell r="G105">
            <v>68.277515828778903</v>
          </cell>
          <cell r="H105">
            <v>32.395599134099797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36.677403040670725</v>
          </cell>
          <cell r="F107">
            <v>40.644044720220521</v>
          </cell>
          <cell r="G107">
            <v>28.785365309925805</v>
          </cell>
          <cell r="H107">
            <v>22.112557637190282</v>
          </cell>
          <cell r="I107">
            <v>0.22071693581180757</v>
          </cell>
          <cell r="J107">
            <v>2.11117730379103E-2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33.70806554181776</v>
          </cell>
          <cell r="F108">
            <v>42.665126647371714</v>
          </cell>
          <cell r="G108">
            <v>60.53108508391</v>
          </cell>
          <cell r="H108">
            <v>100.53638125456716</v>
          </cell>
          <cell r="I108">
            <v>85.692694878916996</v>
          </cell>
          <cell r="J108">
            <v>13.17377389781249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278.99981433834859</v>
          </cell>
          <cell r="F109">
            <v>391.65330643070354</v>
          </cell>
          <cell r="G109">
            <v>278.00769630285362</v>
          </cell>
          <cell r="H109">
            <v>302.93050725232018</v>
          </cell>
          <cell r="I109">
            <v>0.22367941068049652</v>
          </cell>
          <cell r="J109">
            <v>4.3582094216526597E-2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0.37239422732698341</v>
          </cell>
          <cell r="F110">
            <v>0.45176909151696165</v>
          </cell>
          <cell r="G110">
            <v>0.3631701686229209</v>
          </cell>
          <cell r="H110">
            <v>0.31544247632676681</v>
          </cell>
          <cell r="I110">
            <v>6.2811325075891988E-2</v>
          </cell>
          <cell r="J110">
            <v>1.06407323102793E-2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279.65676779964167</v>
          </cell>
          <cell r="F111">
            <v>423.62794946222652</v>
          </cell>
          <cell r="G111">
            <v>417.73136366826384</v>
          </cell>
          <cell r="H111">
            <v>336.66819862179636</v>
          </cell>
          <cell r="I111">
            <v>0.32130358723964925</v>
          </cell>
          <cell r="J111">
            <v>4.6396719022599002E-2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88.198793212888233</v>
          </cell>
          <cell r="F112">
            <v>94.066370944467153</v>
          </cell>
          <cell r="G112">
            <v>67.235021699837077</v>
          </cell>
          <cell r="H112">
            <v>67.87244958797595</v>
          </cell>
          <cell r="I112">
            <v>8.791900928212136E-2</v>
          </cell>
          <cell r="J112">
            <v>1.65825078872717E-2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288.53314078013216</v>
          </cell>
          <cell r="F113">
            <v>387.75560111421936</v>
          </cell>
          <cell r="G113">
            <v>583.26899722291819</v>
          </cell>
          <cell r="H113">
            <v>1416.7834590944669</v>
          </cell>
          <cell r="I113">
            <v>1172.3982449334376</v>
          </cell>
          <cell r="J113">
            <v>242.47216227878701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368.06671992773357</v>
          </cell>
          <cell r="F114">
            <v>390.46061923142753</v>
          </cell>
          <cell r="G114">
            <v>386.73557719640297</v>
          </cell>
          <cell r="H114">
            <v>295.43813251901804</v>
          </cell>
          <cell r="I114">
            <v>9.7733826669888182E-2</v>
          </cell>
          <cell r="J114">
            <v>1.7114682414547201E-2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141.5635215313491</v>
          </cell>
          <cell r="F115">
            <v>162.04639401568937</v>
          </cell>
          <cell r="G115">
            <v>159.32880373307214</v>
          </cell>
          <cell r="H115">
            <v>122.74557302002306</v>
          </cell>
          <cell r="I115">
            <v>5.9968402814782835E-2</v>
          </cell>
          <cell r="J115">
            <v>1.1181295487750299E-2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6.0421697932707898</v>
          </cell>
          <cell r="F116">
            <v>1.8356732646842699</v>
          </cell>
          <cell r="G116">
            <v>3.9419231381058202</v>
          </cell>
          <cell r="H116">
            <v>9.3271513384268203E-4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2.5709205488522402</v>
          </cell>
          <cell r="G117">
            <v>2.6071091557335344</v>
          </cell>
          <cell r="H117">
            <v>6.3699357084057301E-2</v>
          </cell>
          <cell r="I117">
            <v>0.10701133757578521</v>
          </cell>
          <cell r="J117">
            <v>19.640313585331103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4.8470940737297498E-2</v>
          </cell>
          <cell r="G118">
            <v>9.0860890087394702E-2</v>
          </cell>
          <cell r="H118">
            <v>9.2730363668282703E-2</v>
          </cell>
          <cell r="I118">
            <v>8.3454039516862713E-2</v>
          </cell>
          <cell r="J118">
            <v>4.5540459435048516E-2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3.6818739285162501</v>
          </cell>
          <cell r="G119">
            <v>42.341427548789511</v>
          </cell>
          <cell r="H119">
            <v>41.149102089684476</v>
          </cell>
          <cell r="I119">
            <v>49.465263761434855</v>
          </cell>
          <cell r="J119">
            <v>2.4578625393133371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3.3672749565665949</v>
          </cell>
          <cell r="F120">
            <v>3.9496621660775322</v>
          </cell>
          <cell r="G120">
            <v>32.989431442715976</v>
          </cell>
          <cell r="H120">
            <v>88.456096750154899</v>
          </cell>
          <cell r="I120">
            <v>80.560444396540603</v>
          </cell>
          <cell r="J120">
            <v>15.87599629202581</v>
          </cell>
        </row>
        <row r="121">
          <cell r="B121" t="str">
            <v>CO2_T</v>
          </cell>
          <cell r="C121" t="str">
            <v>VAR_fout</v>
          </cell>
          <cell r="D121" t="str">
            <v>T_B_u-HYBDSL-S4</v>
          </cell>
          <cell r="F121">
            <v>1.78108122669162E-3</v>
          </cell>
          <cell r="G121">
            <v>4.2466793937965194E-3</v>
          </cell>
          <cell r="H121">
            <v>2.285530715004958E-3</v>
          </cell>
          <cell r="I121">
            <v>7.3445019766638399E-3</v>
          </cell>
          <cell r="J121">
            <v>4.25496535981294E-4</v>
          </cell>
        </row>
        <row r="122">
          <cell r="B122" t="str">
            <v>CO2_T</v>
          </cell>
          <cell r="C122" t="str">
            <v>VAR_fout</v>
          </cell>
          <cell r="D122" t="str">
            <v>TFRLFDSLEXT</v>
          </cell>
          <cell r="E122">
            <v>29.033362460020602</v>
          </cell>
          <cell r="F122">
            <v>20.340520706211901</v>
          </cell>
          <cell r="G122">
            <v>5.6514781364917603E-2</v>
          </cell>
          <cell r="H122">
            <v>7.7971959601038096E-3</v>
          </cell>
          <cell r="I122">
            <v>2.0342165994689101E-2</v>
          </cell>
        </row>
        <row r="123">
          <cell r="B123" t="str">
            <v>CO2_T</v>
          </cell>
          <cell r="C123" t="str">
            <v>VAR_fout</v>
          </cell>
          <cell r="D123" t="str">
            <v>T_C-HY-GSL-S2</v>
          </cell>
          <cell r="E123">
            <v>10.261253873978418</v>
          </cell>
          <cell r="F123">
            <v>15.074894753186994</v>
          </cell>
          <cell r="G123">
            <v>98.274612713893703</v>
          </cell>
          <cell r="H123">
            <v>450.03379706482019</v>
          </cell>
          <cell r="I123">
            <v>171.55912202774019</v>
          </cell>
          <cell r="J123">
            <v>19.943808748003754</v>
          </cell>
        </row>
        <row r="124">
          <cell r="B124" t="str">
            <v>CO2_T</v>
          </cell>
          <cell r="C124" t="str">
            <v>VAR_fout</v>
          </cell>
          <cell r="D124" t="str">
            <v>TPSHPNGAEXT</v>
          </cell>
          <cell r="F124">
            <v>7.2876762518164404E-4</v>
          </cell>
          <cell r="G124">
            <v>5.6226983100629298E-2</v>
          </cell>
          <cell r="H124">
            <v>4.6158907921877899E-2</v>
          </cell>
          <cell r="I124">
            <v>6.2753276194615999E-3</v>
          </cell>
          <cell r="J124">
            <v>1.3280260718315201E-3</v>
          </cell>
        </row>
        <row r="125">
          <cell r="B125" t="str">
            <v>CO2_T</v>
          </cell>
          <cell r="C125" t="str">
            <v>VAR_fout</v>
          </cell>
          <cell r="D125" t="str">
            <v>T_C-HY-DSL-S1</v>
          </cell>
          <cell r="E125">
            <v>2.3476104353437801E-3</v>
          </cell>
          <cell r="F125">
            <v>12.999120867178965</v>
          </cell>
          <cell r="G125">
            <v>8.8281952372659003</v>
          </cell>
          <cell r="H125">
            <v>32.758032130719712</v>
          </cell>
          <cell r="I125">
            <v>33.055689969468659</v>
          </cell>
          <cell r="J125">
            <v>6.7243026338549319</v>
          </cell>
        </row>
        <row r="126">
          <cell r="B126" t="str">
            <v>CO2_T</v>
          </cell>
          <cell r="C126" t="str">
            <v>VAR_fout</v>
          </cell>
          <cell r="D126" t="str">
            <v>T_C-HY-GSL-S3</v>
          </cell>
          <cell r="E126">
            <v>7.5999431739470635</v>
          </cell>
          <cell r="F126">
            <v>63.438521619908343</v>
          </cell>
          <cell r="G126">
            <v>91.951304444061577</v>
          </cell>
          <cell r="H126">
            <v>76.055754036522671</v>
          </cell>
          <cell r="I126">
            <v>2.823360072992624</v>
          </cell>
          <cell r="J126">
            <v>3.5415900484083995E-2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T_C-HY-DSL-S2</v>
          </cell>
          <cell r="E127">
            <v>0.20011641698859295</v>
          </cell>
          <cell r="F127">
            <v>48.67423146781892</v>
          </cell>
          <cell r="G127">
            <v>97.164819306341087</v>
          </cell>
          <cell r="H127">
            <v>333.24412352838067</v>
          </cell>
          <cell r="I127">
            <v>149.70797421752494</v>
          </cell>
          <cell r="J127">
            <v>23.745721872193482</v>
          </cell>
        </row>
        <row r="128">
          <cell r="B128" t="str">
            <v>CO2_T</v>
          </cell>
          <cell r="C128" t="str">
            <v>VAR_fout</v>
          </cell>
          <cell r="D128" t="str">
            <v>T_C-HY-GSL-S4</v>
          </cell>
          <cell r="E128">
            <v>6.6894652104161789</v>
          </cell>
          <cell r="F128">
            <v>9.9966161197834662</v>
          </cell>
          <cell r="G128">
            <v>9.7868297150386336</v>
          </cell>
          <cell r="H128">
            <v>8.2091289849376015</v>
          </cell>
          <cell r="I128">
            <v>0.19943933134681829</v>
          </cell>
          <cell r="J128">
            <v>5.5295031379947901E-2</v>
          </cell>
        </row>
        <row r="129">
          <cell r="B129" t="str">
            <v>CO2_T</v>
          </cell>
          <cell r="C129" t="str">
            <v>VAR_fout</v>
          </cell>
          <cell r="D129" t="str">
            <v>T_C-HY-DSL-S3</v>
          </cell>
          <cell r="E129">
            <v>2.1127045396331594</v>
          </cell>
          <cell r="F129">
            <v>14.322829077139534</v>
          </cell>
          <cell r="G129">
            <v>13.712317142507763</v>
          </cell>
          <cell r="H129">
            <v>10.91322430724021</v>
          </cell>
          <cell r="I129">
            <v>0.13838439983613499</v>
          </cell>
          <cell r="J129">
            <v>3.4728332936013698E-2</v>
          </cell>
        </row>
        <row r="130">
          <cell r="B130" t="str">
            <v>CO2_T</v>
          </cell>
          <cell r="C130" t="str">
            <v>VAR_fout</v>
          </cell>
          <cell r="D130" t="str">
            <v>T_C-HY-DSL-S4</v>
          </cell>
          <cell r="E130">
            <v>2.5720597250536894</v>
          </cell>
          <cell r="F130">
            <v>35.223891953993991</v>
          </cell>
          <cell r="G130">
            <v>33.950640953452492</v>
          </cell>
          <cell r="H130">
            <v>27.47527920522452</v>
          </cell>
          <cell r="I130">
            <v>0.23785685072843038</v>
          </cell>
          <cell r="J130">
            <v>5.3987330822802104E-2</v>
          </cell>
        </row>
        <row r="131">
          <cell r="B131" t="str">
            <v>CO2_T</v>
          </cell>
          <cell r="C131" t="str">
            <v>VAR_fout</v>
          </cell>
          <cell r="D131" t="str">
            <v>TFHGV-HYBDSL</v>
          </cell>
          <cell r="F131">
            <v>125.648372005593</v>
          </cell>
          <cell r="G131">
            <v>321.94950773732899</v>
          </cell>
          <cell r="H131">
            <v>786.26823132724633</v>
          </cell>
          <cell r="I131">
            <v>1113.6551716072049</v>
          </cell>
          <cell r="J131">
            <v>206.0095822435637</v>
          </cell>
        </row>
        <row r="132">
          <cell r="B132" t="str">
            <v>CO2_T</v>
          </cell>
          <cell r="C132" t="str">
            <v>VAR_fout</v>
          </cell>
          <cell r="D132" t="str">
            <v>TFHGV-ICEDSL</v>
          </cell>
          <cell r="E132">
            <v>380.92783027361321</v>
          </cell>
          <cell r="F132">
            <v>368.47296556864552</v>
          </cell>
          <cell r="G132">
            <v>323.71315800016816</v>
          </cell>
          <cell r="H132">
            <v>32.252323063581542</v>
          </cell>
          <cell r="I132">
            <v>0.232944317980156</v>
          </cell>
          <cell r="J132">
            <v>3.6309309254088699E-2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T-Plg-DSL-mix_S1</v>
          </cell>
          <cell r="E133">
            <v>1.2829220579807399E-3</v>
          </cell>
          <cell r="F133">
            <v>0.1078258315288957</v>
          </cell>
          <cell r="G133">
            <v>0.1055201793776421</v>
          </cell>
          <cell r="H133">
            <v>0.10367222281283833</v>
          </cell>
          <cell r="I133">
            <v>8.2465950228902546E-2</v>
          </cell>
          <cell r="J133">
            <v>3.7460138860374026E-2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T-Plg-DSL-mix_S2</v>
          </cell>
          <cell r="E134">
            <v>9.7423281478948502E-4</v>
          </cell>
          <cell r="F134">
            <v>6.7744232066330706E-2</v>
          </cell>
          <cell r="G134">
            <v>0.1102931831495909</v>
          </cell>
          <cell r="H134">
            <v>0.20868478756687581</v>
          </cell>
          <cell r="I134">
            <v>15.658677707265305</v>
          </cell>
          <cell r="J134">
            <v>3.5679465620451625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T-Plg-DSL-mix_S3</v>
          </cell>
          <cell r="E135">
            <v>7.9876397797187301E-3</v>
          </cell>
          <cell r="F135">
            <v>59.463222097339099</v>
          </cell>
          <cell r="G135">
            <v>76.575841704106409</v>
          </cell>
          <cell r="H135">
            <v>290.1600159803204</v>
          </cell>
          <cell r="I135">
            <v>596.00343018912042</v>
          </cell>
          <cell r="J135">
            <v>238.40175997911001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T_B_c-ICEDSL-S1</v>
          </cell>
          <cell r="E136">
            <v>8.3062437442304802</v>
          </cell>
          <cell r="F136">
            <v>22.483659353151673</v>
          </cell>
          <cell r="G136">
            <v>27.15964653095433</v>
          </cell>
        </row>
        <row r="137">
          <cell r="B137" t="str">
            <v>CO2_T</v>
          </cell>
          <cell r="C137" t="str">
            <v>VAR_fout</v>
          </cell>
          <cell r="D137" t="str">
            <v>T-Plg-DSL-mix_S4</v>
          </cell>
          <cell r="E137">
            <v>0.40978480389939897</v>
          </cell>
          <cell r="F137">
            <v>1.6201226791985488</v>
          </cell>
          <cell r="G137">
            <v>1.851137558068811</v>
          </cell>
          <cell r="H137">
            <v>1.4374114608632409</v>
          </cell>
          <cell r="I137">
            <v>0.95123343971799756</v>
          </cell>
          <cell r="J137">
            <v>0.25610585548689668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T_B_c-ICEDSL-S2</v>
          </cell>
          <cell r="E138">
            <v>38.062653545317303</v>
          </cell>
          <cell r="F138">
            <v>29.186626874225666</v>
          </cell>
          <cell r="G138">
            <v>34.917791433872168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T_B_c-ICEDSL-S3</v>
          </cell>
          <cell r="E139">
            <v>11.62667816446735</v>
          </cell>
          <cell r="F139">
            <v>9.3140158988687887</v>
          </cell>
          <cell r="G139">
            <v>11.251477926820575</v>
          </cell>
          <cell r="I139">
            <v>1.0084842877786299E-4</v>
          </cell>
        </row>
        <row r="140">
          <cell r="B140" t="str">
            <v>CO2_T</v>
          </cell>
          <cell r="C140" t="str">
            <v>VAR_fout</v>
          </cell>
          <cell r="D140" t="str">
            <v>T_B_c-ICEDSL-S4</v>
          </cell>
          <cell r="E140">
            <v>1.0548344233311417</v>
          </cell>
          <cell r="F140">
            <v>2.8017796155834669E-2</v>
          </cell>
          <cell r="G140">
            <v>3.7051441179417603E-2</v>
          </cell>
          <cell r="I140">
            <v>7.4657357187163202E-4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T_B_u-ICENGA-S1</v>
          </cell>
          <cell r="F141">
            <v>3.8588246750823202E-2</v>
          </cell>
          <cell r="G141">
            <v>0.13390276051332961</v>
          </cell>
          <cell r="H141">
            <v>1.30540428514719E-4</v>
          </cell>
          <cell r="I141">
            <v>1.2395928452688199E-4</v>
          </cell>
          <cell r="J141">
            <v>7.4802973514373207E-5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T_B_u-ICENGA-S2</v>
          </cell>
          <cell r="F142">
            <v>2.5438828110151499E-2</v>
          </cell>
          <cell r="G142">
            <v>0.8886116951086428</v>
          </cell>
        </row>
        <row r="143">
          <cell r="B143" t="str">
            <v>CO2_T</v>
          </cell>
          <cell r="C143" t="str">
            <v>VAR_fout</v>
          </cell>
          <cell r="D143" t="str">
            <v>T_B_c-ICEDSLEXT</v>
          </cell>
          <cell r="E143">
            <v>0.441897272088489</v>
          </cell>
          <cell r="F143">
            <v>0.440788258771599</v>
          </cell>
          <cell r="G143">
            <v>0.437546651676266</v>
          </cell>
        </row>
        <row r="144">
          <cell r="B144" t="str">
            <v>CO2_T</v>
          </cell>
          <cell r="C144" t="str">
            <v>VAR_fout</v>
          </cell>
          <cell r="D144" t="str">
            <v>T_B_u-ICENGA-S3</v>
          </cell>
          <cell r="F144">
            <v>2.2066025974735001E-2</v>
          </cell>
          <cell r="G144">
            <v>4.3738751647257601E-2</v>
          </cell>
          <cell r="I144">
            <v>6.0342614256629699E-4</v>
          </cell>
        </row>
        <row r="145">
          <cell r="B145" t="str">
            <v>CO2_T</v>
          </cell>
          <cell r="C145" t="str">
            <v>VAR_fout</v>
          </cell>
          <cell r="D145" t="str">
            <v>T_B_u-ICENGA-S4</v>
          </cell>
          <cell r="F145">
            <v>6.3252233399297905E-4</v>
          </cell>
          <cell r="G145">
            <v>2.4967353008299728E-3</v>
          </cell>
        </row>
        <row r="146">
          <cell r="B146" t="str">
            <v>CO2_T</v>
          </cell>
          <cell r="C146" t="str">
            <v>VAR_comnet</v>
          </cell>
          <cell r="D146" t="str">
            <v>-</v>
          </cell>
          <cell r="E146">
            <v>15005.0975137486</v>
          </cell>
          <cell r="F146">
            <v>14496.5287166465</v>
          </cell>
          <cell r="G146">
            <v>12708.633066193001</v>
          </cell>
          <cell r="H146">
            <v>8322.6733265397197</v>
          </cell>
          <cell r="I146">
            <v>5413.6374084325098</v>
          </cell>
          <cell r="J146">
            <v>2648.45852968704</v>
          </cell>
        </row>
        <row r="147">
          <cell r="B147" t="str">
            <v>CO2</v>
          </cell>
          <cell r="C147" t="str">
            <v>VAR_fout</v>
          </cell>
          <cell r="D147" t="str">
            <v>EWSTINCCS</v>
          </cell>
          <cell r="I147">
            <v>-0.91108766728008295</v>
          </cell>
          <cell r="J147">
            <v>-1140.92511440151</v>
          </cell>
        </row>
        <row r="148">
          <cell r="B148" t="str">
            <v>CO2</v>
          </cell>
          <cell r="C148" t="str">
            <v>VAR_fout</v>
          </cell>
          <cell r="D148" t="str">
            <v>othGHG</v>
          </cell>
          <cell r="E148">
            <v>9468.5879275113693</v>
          </cell>
          <cell r="F148">
            <v>9180.4323379703492</v>
          </cell>
          <cell r="G148">
            <v>8892.2767484293308</v>
          </cell>
          <cell r="H148">
            <v>5031.8930188102804</v>
          </cell>
          <cell r="I148">
            <v>4613.3348842041496</v>
          </cell>
          <cell r="J148">
            <v>4834.9741658475295</v>
          </cell>
        </row>
        <row r="149">
          <cell r="B149" t="str">
            <v>CO2</v>
          </cell>
          <cell r="C149" t="str">
            <v>VAR_fout</v>
          </cell>
          <cell r="D149" t="str">
            <v>D-ICOA</v>
          </cell>
          <cell r="E149">
            <v>330.01239763633799</v>
          </cell>
          <cell r="F149">
            <v>321.179306915621</v>
          </cell>
          <cell r="G149">
            <v>0.19443861311753899</v>
          </cell>
          <cell r="H149">
            <v>272.55967282472301</v>
          </cell>
          <cell r="I149">
            <v>2.65638747251273E-2</v>
          </cell>
          <cell r="J149">
            <v>2.00137379989964E-2</v>
          </cell>
        </row>
        <row r="150">
          <cell r="B150" t="str">
            <v>CO2</v>
          </cell>
          <cell r="C150" t="str">
            <v>VAR_fout</v>
          </cell>
          <cell r="D150" t="str">
            <v>ENGA-CCS</v>
          </cell>
          <cell r="I150">
            <v>-0.16952336822699501</v>
          </cell>
          <cell r="J150">
            <v>-405.33732876233302</v>
          </cell>
        </row>
        <row r="151">
          <cell r="B151" t="str">
            <v>CO2</v>
          </cell>
          <cell r="C151" t="str">
            <v>VAR_fout</v>
          </cell>
          <cell r="D151" t="str">
            <v>CHPWSTCCS</v>
          </cell>
          <cell r="I151">
            <v>-1.01688496708919</v>
          </cell>
          <cell r="J151">
            <v>-1088.6114122475799</v>
          </cell>
        </row>
        <row r="152">
          <cell r="B152" t="str">
            <v>CO2</v>
          </cell>
          <cell r="C152" t="str">
            <v>VAR_fout</v>
          </cell>
          <cell r="D152" t="str">
            <v>D-ENGA</v>
          </cell>
          <cell r="E152">
            <v>311.45743510570998</v>
          </cell>
          <cell r="F152">
            <v>54.719861251955599</v>
          </cell>
          <cell r="G152">
            <v>352.17521636248898</v>
          </cell>
          <cell r="H152">
            <v>382.40336823359098</v>
          </cell>
          <cell r="I152">
            <v>118.210200099559</v>
          </cell>
          <cell r="J152">
            <v>91.719197327126295</v>
          </cell>
        </row>
        <row r="153">
          <cell r="B153" t="str">
            <v>CO2</v>
          </cell>
          <cell r="C153" t="str">
            <v>VAR_fout</v>
          </cell>
          <cell r="D153" t="str">
            <v>D-ILFO</v>
          </cell>
          <cell r="E153">
            <v>689.197859826632</v>
          </cell>
          <cell r="F153">
            <v>648.10760250032502</v>
          </cell>
          <cell r="G153">
            <v>595.66321077916996</v>
          </cell>
          <cell r="H153">
            <v>519.70966941093002</v>
          </cell>
          <cell r="I153">
            <v>216.57187518380101</v>
          </cell>
          <cell r="J153">
            <v>1.3843464515861999E-4</v>
          </cell>
        </row>
        <row r="154">
          <cell r="B154" t="str">
            <v>CO2</v>
          </cell>
          <cell r="C154" t="str">
            <v>VAR_fout</v>
          </cell>
          <cell r="D154" t="str">
            <v>ITOT-CHPWSTCCS</v>
          </cell>
          <cell r="I154">
            <v>-76.404671865989897</v>
          </cell>
          <cell r="J154">
            <v>-714.96049128426603</v>
          </cell>
        </row>
        <row r="155">
          <cell r="B155" t="str">
            <v>CO2</v>
          </cell>
          <cell r="C155" t="str">
            <v>VAR_fout</v>
          </cell>
          <cell r="D155" t="str">
            <v>ITOT-CHPNGACCS</v>
          </cell>
          <cell r="I155">
            <v>-0.117462541064628</v>
          </cell>
          <cell r="J155">
            <v>-1.1026369062385499</v>
          </cell>
        </row>
        <row r="156">
          <cell r="B156" t="str">
            <v>CO2</v>
          </cell>
          <cell r="C156" t="str">
            <v>VAR_fout</v>
          </cell>
          <cell r="D156" t="str">
            <v>D-TDSL</v>
          </cell>
          <cell r="E156">
            <v>8663.0032801272791</v>
          </cell>
          <cell r="F156">
            <v>8134.7623211085702</v>
          </cell>
          <cell r="G156">
            <v>6634.5688943409104</v>
          </cell>
          <cell r="H156">
            <v>4053.30220819439</v>
          </cell>
          <cell r="I156">
            <v>3070.4710108587901</v>
          </cell>
          <cell r="J156">
            <v>8.9984632886342109</v>
          </cell>
        </row>
        <row r="157">
          <cell r="B157" t="str">
            <v>CO2</v>
          </cell>
          <cell r="C157" t="str">
            <v>VAR_fout</v>
          </cell>
          <cell r="D157" t="str">
            <v>ITOT-PROCESSCO2</v>
          </cell>
          <cell r="E157">
            <v>2089.34680048464</v>
          </cell>
          <cell r="F157">
            <v>2111.0131698740802</v>
          </cell>
          <cell r="G157">
            <v>2102.26947106126</v>
          </cell>
          <cell r="H157">
            <v>2093.6572515503899</v>
          </cell>
          <cell r="I157">
            <v>2077.4196143784802</v>
          </cell>
          <cell r="J157">
            <v>2063.7502177011402</v>
          </cell>
        </row>
        <row r="158">
          <cell r="B158" t="str">
            <v>CO2</v>
          </cell>
          <cell r="C158" t="str">
            <v>VAR_fout</v>
          </cell>
          <cell r="D158" t="str">
            <v>D-ELFO</v>
          </cell>
          <cell r="E158">
            <v>27.129909623233399</v>
          </cell>
          <cell r="F158">
            <v>311.534054585121</v>
          </cell>
          <cell r="G158">
            <v>1.78021381217691</v>
          </cell>
          <cell r="H158">
            <v>0.84700618234587699</v>
          </cell>
          <cell r="I158">
            <v>0.98026003238989301</v>
          </cell>
          <cell r="J158">
            <v>5.6904537927072001E-3</v>
          </cell>
        </row>
        <row r="159">
          <cell r="B159" t="str">
            <v>CO2</v>
          </cell>
          <cell r="C159" t="str">
            <v>VAR_fout</v>
          </cell>
          <cell r="D159" t="str">
            <v>D-TNGA</v>
          </cell>
          <cell r="E159">
            <v>15.6332074717235</v>
          </cell>
          <cell r="F159">
            <v>9.5718230901641306</v>
          </cell>
          <cell r="G159">
            <v>11.791912851370199</v>
          </cell>
          <cell r="H159">
            <v>1.22351043463816</v>
          </cell>
          <cell r="I159">
            <v>1.3467486797652599</v>
          </cell>
          <cell r="J159">
            <v>1.21473096610785</v>
          </cell>
        </row>
        <row r="160">
          <cell r="B160" t="str">
            <v>CO2</v>
          </cell>
          <cell r="C160" t="str">
            <v>VAR_fout</v>
          </cell>
          <cell r="D160" t="str">
            <v>D-SNGA</v>
          </cell>
          <cell r="E160">
            <v>1522.67381441783</v>
          </cell>
          <cell r="F160">
            <v>1524.51610823376</v>
          </cell>
          <cell r="G160">
            <v>1213.86016442851</v>
          </cell>
          <cell r="H160">
            <v>769.13981898190696</v>
          </cell>
          <cell r="I160">
            <v>297.196945143579</v>
          </cell>
          <cell r="J160">
            <v>188.08933159359901</v>
          </cell>
        </row>
        <row r="161">
          <cell r="B161" t="str">
            <v>CO2</v>
          </cell>
          <cell r="C161" t="str">
            <v>VAR_fout</v>
          </cell>
          <cell r="D161" t="str">
            <v>CO2compabroad</v>
          </cell>
          <cell r="H161">
            <v>-4.56342415925425E-4</v>
          </cell>
          <cell r="I161">
            <v>-2295.11756907978</v>
          </cell>
          <cell r="J161">
            <v>-4834.9741658475295</v>
          </cell>
        </row>
        <row r="162">
          <cell r="B162" t="str">
            <v>CO2</v>
          </cell>
          <cell r="C162" t="str">
            <v>VAR_fout</v>
          </cell>
          <cell r="D162" t="str">
            <v>D-RNGA</v>
          </cell>
          <cell r="E162">
            <v>2652.47581767781</v>
          </cell>
          <cell r="F162">
            <v>2628.5390331857802</v>
          </cell>
          <cell r="G162">
            <v>2468.9258421428699</v>
          </cell>
          <cell r="H162">
            <v>1597.2073098615799</v>
          </cell>
          <cell r="I162">
            <v>913.01592543615595</v>
          </cell>
          <cell r="J162">
            <v>572.98742958728201</v>
          </cell>
        </row>
        <row r="163">
          <cell r="B163" t="str">
            <v>CO2</v>
          </cell>
          <cell r="C163" t="str">
            <v>VAR_fout</v>
          </cell>
          <cell r="D163" t="str">
            <v>D-IHFO</v>
          </cell>
          <cell r="E163">
            <v>213.78054402665401</v>
          </cell>
          <cell r="F163">
            <v>8.3243604151583106E-2</v>
          </cell>
          <cell r="G163">
            <v>0.109172701597538</v>
          </cell>
          <cell r="H163">
            <v>0.18411915603684001</v>
          </cell>
          <cell r="I163">
            <v>2.7711024026771801E-2</v>
          </cell>
        </row>
        <row r="164">
          <cell r="B164" t="str">
            <v>CO2</v>
          </cell>
          <cell r="C164" t="str">
            <v>VAR_fout</v>
          </cell>
          <cell r="D164" t="str">
            <v>SUP_WSTHTGBIOCCS</v>
          </cell>
          <cell r="I164">
            <v>-4.7554915002903202E-3</v>
          </cell>
          <cell r="J164">
            <v>-2.0637694511079399E-2</v>
          </cell>
        </row>
        <row r="165">
          <cell r="B165" t="str">
            <v>CO2</v>
          </cell>
          <cell r="C165" t="str">
            <v>VAR_fout</v>
          </cell>
          <cell r="D165" t="str">
            <v>D-SLFO</v>
          </cell>
          <cell r="E165">
            <v>2267.7888438954901</v>
          </cell>
          <cell r="F165">
            <v>1898.7866979217799</v>
          </cell>
          <cell r="G165">
            <v>1832.9543916322</v>
          </cell>
          <cell r="H165">
            <v>919.81988515123999</v>
          </cell>
          <cell r="I165">
            <v>177.47470370384701</v>
          </cell>
          <cell r="J165">
            <v>1.07510528403909E-4</v>
          </cell>
        </row>
        <row r="166">
          <cell r="B166" t="str">
            <v>CO2</v>
          </cell>
          <cell r="C166" t="str">
            <v>VAR_fout</v>
          </cell>
          <cell r="D166" t="str">
            <v>D-RCOA</v>
          </cell>
          <cell r="E166">
            <v>9.2700779640888502</v>
          </cell>
          <cell r="F166">
            <v>9.2699703994364704</v>
          </cell>
          <cell r="G166">
            <v>2.4015047353697399</v>
          </cell>
        </row>
        <row r="167">
          <cell r="B167" t="str">
            <v>CO2</v>
          </cell>
          <cell r="C167" t="str">
            <v>VAR_fout</v>
          </cell>
          <cell r="D167" t="str">
            <v>ITOT-CHPWODCCS</v>
          </cell>
          <cell r="I167">
            <v>-186.349217037318</v>
          </cell>
          <cell r="J167">
            <v>-863.35958939574004</v>
          </cell>
        </row>
        <row r="168">
          <cell r="B168" t="str">
            <v>CO2</v>
          </cell>
          <cell r="C168" t="str">
            <v>VAR_fout</v>
          </cell>
          <cell r="D168" t="str">
            <v>D-RLFO</v>
          </cell>
          <cell r="E168">
            <v>4514.4833536305996</v>
          </cell>
          <cell r="F168">
            <v>3846.52684304173</v>
          </cell>
          <cell r="G168">
            <v>3553.0930143365799</v>
          </cell>
          <cell r="H168">
            <v>1565.8512776851801</v>
          </cell>
          <cell r="I168">
            <v>222.72950551917199</v>
          </cell>
          <cell r="J168">
            <v>2.2768762088806101E-4</v>
          </cell>
        </row>
        <row r="169">
          <cell r="B169" t="str">
            <v>CO2</v>
          </cell>
          <cell r="C169" t="str">
            <v>VAR_fout</v>
          </cell>
          <cell r="D169" t="str">
            <v>D-TGSL</v>
          </cell>
          <cell r="E169">
            <v>5904.96493176687</v>
          </cell>
          <cell r="F169">
            <v>5902.0307932308197</v>
          </cell>
          <cell r="G169">
            <v>5569.5609701091498</v>
          </cell>
          <cell r="H169">
            <v>3606.3787977358802</v>
          </cell>
          <cell r="I169">
            <v>1304.4563641705799</v>
          </cell>
          <cell r="J169">
            <v>116.23438875426601</v>
          </cell>
        </row>
        <row r="170">
          <cell r="B170" t="str">
            <v>CO2</v>
          </cell>
          <cell r="C170" t="str">
            <v>VAR_fout</v>
          </cell>
          <cell r="D170" t="str">
            <v>EWOD-CCS</v>
          </cell>
          <cell r="I170">
            <v>-0.25797925845966901</v>
          </cell>
          <cell r="J170">
            <v>-475.77398809597702</v>
          </cell>
        </row>
        <row r="171">
          <cell r="B171" t="str">
            <v>CO2</v>
          </cell>
          <cell r="C171" t="str">
            <v>VAR_fout</v>
          </cell>
          <cell r="D171" t="str">
            <v>ITOT-PROCESSCO2CCS</v>
          </cell>
          <cell r="I171">
            <v>-4.2679830658152201E-2</v>
          </cell>
          <cell r="J171">
            <v>-1030.08338632082</v>
          </cell>
        </row>
        <row r="172">
          <cell r="B172" t="str">
            <v>CO2</v>
          </cell>
          <cell r="C172" t="str">
            <v>VAR_fout</v>
          </cell>
          <cell r="D172" t="str">
            <v>D-IWST</v>
          </cell>
          <cell r="E172">
            <v>1068.1285109175999</v>
          </cell>
          <cell r="F172">
            <v>1089.0748171760799</v>
          </cell>
          <cell r="G172">
            <v>1024.6411911919699</v>
          </cell>
          <cell r="H172">
            <v>1045.95619860393</v>
          </cell>
          <cell r="I172">
            <v>996.69828121909302</v>
          </cell>
          <cell r="J172">
            <v>986.58520520752802</v>
          </cell>
        </row>
        <row r="173">
          <cell r="B173" t="str">
            <v>CO2</v>
          </cell>
          <cell r="C173" t="str">
            <v>VAR_fout</v>
          </cell>
          <cell r="D173" t="str">
            <v>SUP_WODH2CCS</v>
          </cell>
          <cell r="J173">
            <v>-1026.08535966984</v>
          </cell>
        </row>
        <row r="174">
          <cell r="B174" t="str">
            <v>CO2</v>
          </cell>
          <cell r="C174" t="str">
            <v>VAR_fout</v>
          </cell>
          <cell r="D174" t="str">
            <v>SUP_WODBIOCCS</v>
          </cell>
          <cell r="I174">
            <v>-2.0864604524908299E-2</v>
          </cell>
          <cell r="J174">
            <v>-3.2895728581693699E-2</v>
          </cell>
        </row>
        <row r="175">
          <cell r="B175" t="str">
            <v>CO2</v>
          </cell>
          <cell r="C175" t="str">
            <v>VAR_fout</v>
          </cell>
          <cell r="D175" t="str">
            <v>SUP_NGAH2CCS</v>
          </cell>
          <cell r="J175">
            <v>-4.6573797638364202E-2</v>
          </cell>
        </row>
        <row r="176">
          <cell r="B176" t="str">
            <v>CO2</v>
          </cell>
          <cell r="C176" t="str">
            <v>VAR_fout</v>
          </cell>
          <cell r="D176" t="str">
            <v>CT_CWODETHCCS</v>
          </cell>
          <cell r="I176">
            <v>-2.1452888201938E-3</v>
          </cell>
          <cell r="J176">
            <v>-7.0459853105246098E-4</v>
          </cell>
        </row>
        <row r="177">
          <cell r="B177" t="str">
            <v>CO2</v>
          </cell>
          <cell r="C177" t="str">
            <v>VAR_fout</v>
          </cell>
          <cell r="D177" t="str">
            <v>D-TKER</v>
          </cell>
          <cell r="E177">
            <v>80.763254672403804</v>
          </cell>
          <cell r="F177">
            <v>102.299643522715</v>
          </cell>
          <cell r="G177">
            <v>134.604226798182</v>
          </cell>
          <cell r="H177">
            <v>145.070532462367</v>
          </cell>
          <cell r="I177">
            <v>127.06764748231799</v>
          </cell>
          <cell r="J177">
            <v>1.48167854205173E-5</v>
          </cell>
        </row>
        <row r="178">
          <cell r="B178" t="str">
            <v>CO2</v>
          </cell>
          <cell r="C178" t="str">
            <v>VAR_fout</v>
          </cell>
          <cell r="D178" t="str">
            <v>D-INGA</v>
          </cell>
          <cell r="E178">
            <v>2101.87344529649</v>
          </cell>
          <cell r="F178">
            <v>1801.6504541623201</v>
          </cell>
          <cell r="G178">
            <v>1691.0774079463899</v>
          </cell>
          <cell r="H178">
            <v>628.09781591312799</v>
          </cell>
          <cell r="I178">
            <v>128.24029974379101</v>
          </cell>
          <cell r="J178">
            <v>399.43056312206699</v>
          </cell>
        </row>
        <row r="179">
          <cell r="B179" t="str">
            <v>CO2</v>
          </cell>
          <cell r="C179" t="str">
            <v>VAR_fout</v>
          </cell>
          <cell r="D179" t="str">
            <v>SUP_DAC</v>
          </cell>
          <cell r="I179">
            <v>-2.78996688755688E-3</v>
          </cell>
          <cell r="J179">
            <v>-1.4450817954069901E-2</v>
          </cell>
        </row>
        <row r="180">
          <cell r="B180" t="str">
            <v>CO2</v>
          </cell>
          <cell r="C180" t="str">
            <v>VAR_fout</v>
          </cell>
          <cell r="D180" t="str">
            <v>CT_CWODBDSCCS</v>
          </cell>
          <cell r="I180">
            <v>-2.20356452576791E-2</v>
          </cell>
          <cell r="J180">
            <v>-7.2457642311821502E-2</v>
          </cell>
        </row>
        <row r="181">
          <cell r="B181" t="str">
            <v>CO2</v>
          </cell>
          <cell r="C181" t="str">
            <v>VAR_fout</v>
          </cell>
          <cell r="D181" t="str">
            <v>D-EWST</v>
          </cell>
          <cell r="E181">
            <v>2236.6407527963902</v>
          </cell>
          <cell r="F181">
            <v>2240.8103838950701</v>
          </cell>
          <cell r="G181">
            <v>2268.7818040749398</v>
          </cell>
          <cell r="H181">
            <v>2265.8198554340602</v>
          </cell>
          <cell r="I181">
            <v>2266.0986268636402</v>
          </cell>
          <cell r="J181">
            <v>2317.3898074959002</v>
          </cell>
        </row>
        <row r="182">
          <cell r="B182" t="str">
            <v>CO2</v>
          </cell>
          <cell r="C182" t="str">
            <v>VAR_comnet</v>
          </cell>
          <cell r="D182" t="str">
            <v>-</v>
          </cell>
          <cell r="E182">
            <v>44167.212164849101</v>
          </cell>
          <cell r="F182">
            <v>41814.908465669803</v>
          </cell>
          <cell r="G182">
            <v>38350.729796347601</v>
          </cell>
          <cell r="H182">
            <v>24899.120861051</v>
          </cell>
          <cell r="I182">
            <v>13970.9219002301</v>
          </cell>
          <cell r="J182">
            <v>-1.6922320550381701E-5</v>
          </cell>
        </row>
        <row r="183">
          <cell r="B183" t="str">
            <v>CO2</v>
          </cell>
          <cell r="C183" t="str">
            <v>EQ_combalM</v>
          </cell>
          <cell r="D183" t="str">
            <v>-</v>
          </cell>
          <cell r="H183">
            <v>2.05850954709791E-7</v>
          </cell>
          <cell r="I183">
            <v>-0.13925464482057601</v>
          </cell>
          <cell r="J183">
            <v>-1.1368096032517001</v>
          </cell>
        </row>
        <row r="184">
          <cell r="B184" t="str">
            <v>CO2_X</v>
          </cell>
          <cell r="C184" t="str">
            <v>VAR_fout</v>
          </cell>
          <cell r="D184" t="str">
            <v>D-CO2_O</v>
          </cell>
          <cell r="J184">
            <v>6621.1623988121009</v>
          </cell>
        </row>
        <row r="185">
          <cell r="B185" t="str">
            <v>CO2_X</v>
          </cell>
          <cell r="C185" t="str">
            <v>VAR_fin</v>
          </cell>
          <cell r="D185" t="str">
            <v>CO2EXP</v>
          </cell>
          <cell r="J185">
            <v>6621.1623988121009</v>
          </cell>
        </row>
        <row r="186">
          <cell r="B186" t="str">
            <v>CO2_X</v>
          </cell>
          <cell r="C186" t="str">
            <v>EQ_combalM</v>
          </cell>
          <cell r="D186" t="str">
            <v>-</v>
          </cell>
          <cell r="I186">
            <v>-398.60278590143054</v>
          </cell>
          <cell r="J186">
            <v>-137.39809289347033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6492.3395581883497</v>
          </cell>
          <cell r="F187">
            <v>5971.1085942325763</v>
          </cell>
          <cell r="G187">
            <v>5413.9548922935073</v>
          </cell>
          <cell r="H187">
            <v>4560.1647274591523</v>
          </cell>
          <cell r="I187">
            <v>3418.9843454239112</v>
          </cell>
          <cell r="J187">
            <v>3449.7862189560237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7176.2292492724928</v>
          </cell>
          <cell r="F188">
            <v>6484.3358466269528</v>
          </cell>
          <cell r="G188">
            <v>6024.4203612148285</v>
          </cell>
          <cell r="H188">
            <v>3163.0585875467541</v>
          </cell>
          <cell r="I188">
            <v>1135.7454309553259</v>
          </cell>
          <cell r="J188">
            <v>572.98767400254587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14663.177768789295</v>
          </cell>
          <cell r="F189">
            <v>14147.161174677236</v>
          </cell>
          <cell r="G189">
            <v>12348.547846285523</v>
          </cell>
          <cell r="H189">
            <v>7803.8430778558004</v>
          </cell>
          <cell r="I189">
            <v>4501.4743717362762</v>
          </cell>
          <cell r="J189">
            <v>126.44759760804469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2575.228097525332</v>
          </cell>
          <cell r="F190">
            <v>2607.0642997321515</v>
          </cell>
          <cell r="G190">
            <v>2622.7372342496037</v>
          </cell>
          <cell r="H190">
            <v>2649.0702298499959</v>
          </cell>
          <cell r="I190">
            <v>2385.2890869955872</v>
          </cell>
          <cell r="J190">
            <v>2409.1146952768199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3790.4626583133218</v>
          </cell>
          <cell r="F191">
            <v>3423.3028061555387</v>
          </cell>
          <cell r="G191">
            <v>3046.8145560607127</v>
          </cell>
          <cell r="H191">
            <v>1688.9597041331479</v>
          </cell>
          <cell r="I191">
            <v>474.67164884742641</v>
          </cell>
          <cell r="J191">
            <v>188.08954358880206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2575.228097525332</v>
          </cell>
          <cell r="F192">
            <v>2607.0642997321515</v>
          </cell>
          <cell r="G192">
            <v>2622.7372342496037</v>
          </cell>
          <cell r="H192">
            <v>2649.0702298499959</v>
          </cell>
          <cell r="I192">
            <v>2382.9275782674927</v>
          </cell>
          <cell r="J192">
            <v>-701.53606626025135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I193">
            <v>-4.6161757409112929E-2</v>
          </cell>
          <cell r="J193">
            <v>-1026.2572934424622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6492.3395581883497</v>
          </cell>
          <cell r="F194">
            <v>5971.1085942325763</v>
          </cell>
          <cell r="G194">
            <v>5413.9548922935073</v>
          </cell>
          <cell r="H194">
            <v>4560.1672981831798</v>
          </cell>
          <cell r="I194">
            <v>3156.0553369705581</v>
          </cell>
          <cell r="J194">
            <v>840.28368041913086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43765.004987802487</v>
          </cell>
          <cell r="F195">
            <v>41211.1456153892</v>
          </cell>
          <cell r="G195">
            <v>37493.167016647261</v>
          </cell>
          <cell r="H195">
            <v>27074.33385487803</v>
          </cell>
          <cell r="I195">
            <v>17455.101637439173</v>
          </cell>
          <cell r="J195">
            <v>5858.9160501486494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313.96342277853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J198">
            <v>6621.16239881209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0.50001977469102699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2089.34680048464</v>
          </cell>
          <cell r="F200">
            <v>2111.0131698740802</v>
          </cell>
          <cell r="G200">
            <v>2102.26947106126</v>
          </cell>
          <cell r="H200">
            <v>2093.6572515503963</v>
          </cell>
          <cell r="I200">
            <v>2077.4196143784748</v>
          </cell>
          <cell r="J200">
            <v>2063.7502177011397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2089.34680048464</v>
          </cell>
          <cell r="F201">
            <v>2111.0131698740802</v>
          </cell>
          <cell r="G201">
            <v>2102.26947106126</v>
          </cell>
          <cell r="H201">
            <v>2093.6572515503963</v>
          </cell>
          <cell r="I201">
            <v>2077.4196143784748</v>
          </cell>
          <cell r="J201">
            <v>2063.7502177011397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0.98394272220287304</v>
          </cell>
          <cell r="J202">
            <v>1207.9991206136899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0.23030033959934501</v>
          </cell>
          <cell r="J203">
            <v>457.13218097679402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1.1425673787519</v>
          </cell>
          <cell r="J204">
            <v>1223.1588901658199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114.38359403050799</v>
          </cell>
          <cell r="F205">
            <v>54.132373442415798</v>
          </cell>
          <cell r="G205">
            <v>394.41716063971501</v>
          </cell>
          <cell r="H205">
            <v>392.59575480106798</v>
          </cell>
          <cell r="I205">
            <v>109.008522168547</v>
          </cell>
          <cell r="J205">
            <v>8.4399854521808298E-3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2783.9881462010899</v>
          </cell>
          <cell r="F206">
            <v>2581.1511346860402</v>
          </cell>
          <cell r="G206">
            <v>2613.3711383903101</v>
          </cell>
          <cell r="H206">
            <v>2587.5653582465702</v>
          </cell>
          <cell r="I206">
            <v>2540.2992461624799</v>
          </cell>
          <cell r="J206">
            <v>995.53761820398097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207.80006047875099</v>
          </cell>
          <cell r="F207">
            <v>0.26854388475544899</v>
          </cell>
          <cell r="G207">
            <v>0.64062006856156695</v>
          </cell>
          <cell r="H207">
            <v>0.273253944863658</v>
          </cell>
          <cell r="I207">
            <v>15.9244936335913</v>
          </cell>
          <cell r="J207">
            <v>0.130328697706765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1689.29335939169</v>
          </cell>
          <cell r="F208">
            <v>1900.4699951090299</v>
          </cell>
          <cell r="G208">
            <v>1924.1935146856799</v>
          </cell>
          <cell r="H208">
            <v>1944.07436159145</v>
          </cell>
          <cell r="I208">
            <v>1989.77667257026</v>
          </cell>
          <cell r="J208">
            <v>1208.08506565735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1.9747556438498099</v>
          </cell>
          <cell r="J209">
            <v>1.6660831369437401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15.876863671474</v>
          </cell>
          <cell r="F210">
            <v>306.098127223701</v>
          </cell>
          <cell r="G210">
            <v>0.179883444254444</v>
          </cell>
          <cell r="H210">
            <v>0.54444672640952896</v>
          </cell>
          <cell r="I210">
            <v>3.3762865189854399E-2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58.847955054961403</v>
          </cell>
          <cell r="J211">
            <v>100.690291729653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9.0453369978690201</v>
          </cell>
          <cell r="F212">
            <v>9.5868666347736206E-2</v>
          </cell>
          <cell r="G212">
            <v>0.72577427444575404</v>
          </cell>
          <cell r="H212">
            <v>9.4811898884084506E-2</v>
          </cell>
          <cell r="I212">
            <v>0.44579641507537199</v>
          </cell>
          <cell r="J212">
            <v>4.1218584460821798E-3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F213">
            <v>0.15676121376732299</v>
          </cell>
          <cell r="G213">
            <v>0.78100674266447101</v>
          </cell>
          <cell r="H213">
            <v>0.11940989907590201</v>
          </cell>
          <cell r="I213">
            <v>5.8641612474455096</v>
          </cell>
          <cell r="J213">
            <v>1.9289465806192001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1.7546078461101999</v>
          </cell>
          <cell r="F214">
            <v>0.13721018788245101</v>
          </cell>
          <cell r="G214">
            <v>0.84508069406200403</v>
          </cell>
          <cell r="H214">
            <v>0.19382431872537501</v>
          </cell>
          <cell r="I214">
            <v>0.49089425174102902</v>
          </cell>
          <cell r="J214">
            <v>2.6388454925846301E-3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4822.1419686174904</v>
          </cell>
          <cell r="F215">
            <v>4842.5100144139396</v>
          </cell>
          <cell r="G215">
            <v>4935.1541789396897</v>
          </cell>
          <cell r="H215">
            <v>4925.4612214270501</v>
          </cell>
          <cell r="I215">
            <v>4725.0230704536998</v>
          </cell>
          <cell r="J215">
            <v>5196.3437264519498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108.462079724224</v>
          </cell>
          <cell r="F216">
            <v>16.217955195570401</v>
          </cell>
          <cell r="G216">
            <v>8.0064617375348597</v>
          </cell>
          <cell r="H216">
            <v>3.77061470655998</v>
          </cell>
          <cell r="I216">
            <v>0.91720615001857497</v>
          </cell>
          <cell r="J216">
            <v>1.93459145250374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2005.15335613722</v>
          </cell>
          <cell r="F217">
            <v>1779.7133395267099</v>
          </cell>
          <cell r="G217">
            <v>1678.6166248961699</v>
          </cell>
          <cell r="H217">
            <v>641.32402890132198</v>
          </cell>
          <cell r="I217">
            <v>213.274942118925</v>
          </cell>
          <cell r="J217">
            <v>5.5969361611019799E-2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100.002504010835</v>
          </cell>
          <cell r="J218">
            <v>986.22283493043096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655.76839592052295</v>
          </cell>
          <cell r="F219">
            <v>586.09879548320203</v>
          </cell>
          <cell r="G219">
            <v>584.65884459132599</v>
          </cell>
          <cell r="H219">
            <v>463.17264403932001</v>
          </cell>
          <cell r="I219">
            <v>229.09784941310099</v>
          </cell>
          <cell r="J219">
            <v>14.5304650721085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0.15262175683447601</v>
          </cell>
          <cell r="J220">
            <v>1.24624150509558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5.1064726926363498E-2</v>
          </cell>
          <cell r="I221">
            <v>0.17271746491126599</v>
          </cell>
          <cell r="J221">
            <v>481.37332892435001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330.01239763633799</v>
          </cell>
          <cell r="F222">
            <v>321.179306915621</v>
          </cell>
          <cell r="G222">
            <v>0.19443861311753899</v>
          </cell>
          <cell r="H222">
            <v>272.55967282472301</v>
          </cell>
          <cell r="I222">
            <v>2.65638747251273E-2</v>
          </cell>
          <cell r="J222">
            <v>2.00137379989964E-2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21.919056458980901</v>
          </cell>
          <cell r="F223">
            <v>51.185847825222801</v>
          </cell>
          <cell r="G223">
            <v>1.0770355685892801</v>
          </cell>
          <cell r="H223">
            <v>47.878270890832603</v>
          </cell>
          <cell r="I223">
            <v>0.67701706631373304</v>
          </cell>
          <cell r="J223">
            <v>2.2901113632754799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723.65836025638396</v>
          </cell>
          <cell r="F224">
            <v>749.837952262925</v>
          </cell>
          <cell r="G224">
            <v>520.44850716720305</v>
          </cell>
          <cell r="H224">
            <v>531.27391568572102</v>
          </cell>
          <cell r="I224">
            <v>506.25910694141498</v>
          </cell>
          <cell r="J224">
            <v>0.19318854114352799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0.119354177851131</v>
          </cell>
          <cell r="H225">
            <v>0.12487587384259401</v>
          </cell>
          <cell r="I225">
            <v>0.123604314015325</v>
          </cell>
          <cell r="J225">
            <v>0.126869662228039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344.47015066121998</v>
          </cell>
          <cell r="F226">
            <v>339.23817901349901</v>
          </cell>
          <cell r="G226">
            <v>504.19674794425299</v>
          </cell>
          <cell r="H226">
            <v>514.68430897758503</v>
          </cell>
          <cell r="I226">
            <v>390.46779842925201</v>
          </cell>
          <cell r="J226">
            <v>0.17937416920636701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210.21015980254299</v>
          </cell>
          <cell r="F227">
            <v>8.1853338950537299E-2</v>
          </cell>
          <cell r="G227">
            <v>0.107349390251494</v>
          </cell>
          <cell r="H227">
            <v>0.18104415155940501</v>
          </cell>
          <cell r="I227">
            <v>2.7248217631224501E-2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4399.6539565974299</v>
          </cell>
          <cell r="F228">
            <v>3843.5532295616999</v>
          </cell>
          <cell r="G228">
            <v>3297.4253640862999</v>
          </cell>
          <cell r="H228">
            <v>2475.0204407783899</v>
          </cell>
          <cell r="I228">
            <v>1441.1991797579799</v>
          </cell>
          <cell r="J228">
            <v>1488.1729887199499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9.5935225446028098E-7</v>
          </cell>
          <cell r="I4">
            <v>1.5470830286149199E-6</v>
          </cell>
          <cell r="J4">
            <v>8.8869066469734901E-5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3.1055850201969801E-5</v>
          </cell>
          <cell r="J5">
            <v>1.2762003732449301E-6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1.5697509637250399E-5</v>
          </cell>
          <cell r="I6">
            <v>1.44147370691013</v>
          </cell>
          <cell r="J6">
            <v>1.4841444631343901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1.3627089794606201E-6</v>
          </cell>
          <cell r="I7">
            <v>2.1546682612336301E-4</v>
          </cell>
          <cell r="J7">
            <v>9.3520628193345104E-7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3.1324747111348802E-6</v>
          </cell>
          <cell r="F8">
            <v>5.2997143059092504E-7</v>
          </cell>
          <cell r="G8">
            <v>7.1633112593069403E-7</v>
          </cell>
          <cell r="H8">
            <v>1.0395019403056499E-6</v>
          </cell>
          <cell r="I8">
            <v>2.6426350845977E-6</v>
          </cell>
          <cell r="J8">
            <v>4.7189794239783303E-6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2.5025394251297398E-3</v>
          </cell>
          <cell r="J9">
            <v>6.3017549145516003E-5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4.0973138465308298E-3</v>
          </cell>
          <cell r="F10">
            <v>6.4550323541855496E-6</v>
          </cell>
          <cell r="G10">
            <v>1.20116419536296E-6</v>
          </cell>
          <cell r="H10">
            <v>0.12281594423867501</v>
          </cell>
          <cell r="I10">
            <v>1.9423902435595101E-2</v>
          </cell>
          <cell r="J10">
            <v>0.22670173098811799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3.8320336829057802E-7</v>
          </cell>
          <cell r="F11">
            <v>4.0631096445914701E-7</v>
          </cell>
          <cell r="G11">
            <v>4.9006716673194402E-7</v>
          </cell>
          <cell r="H11">
            <v>6.0368954234960799E-7</v>
          </cell>
          <cell r="I11">
            <v>2.0151289629540401E-6</v>
          </cell>
          <cell r="J11">
            <v>3.9451432267268799E-4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1.4364920254822101E-2</v>
          </cell>
          <cell r="F12">
            <v>6.8728873839014104E-2</v>
          </cell>
          <cell r="G12">
            <v>1.4497730106975299E-6</v>
          </cell>
          <cell r="H12">
            <v>3.0668531540088501E-6</v>
          </cell>
          <cell r="I12">
            <v>5.1449894126102999E-2</v>
          </cell>
          <cell r="J12">
            <v>0.27101584245731802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3.1444068971644103E-5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2.51056878110242E-7</v>
          </cell>
          <cell r="F14">
            <v>1.5840735961705501E-7</v>
          </cell>
          <cell r="G14">
            <v>1.8457525604536899E-7</v>
          </cell>
          <cell r="H14">
            <v>1.6087521708124701E-7</v>
          </cell>
          <cell r="I14">
            <v>3.25957967304726E-7</v>
          </cell>
          <cell r="J14">
            <v>7.0233826280096804E-7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0.45204214522455499</v>
          </cell>
          <cell r="I15">
            <v>1.39354565337822E-2</v>
          </cell>
          <cell r="J15">
            <v>0.36518978288209297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3.01164496448295E-6</v>
          </cell>
          <cell r="I16">
            <v>0.124204844231856</v>
          </cell>
          <cell r="J16">
            <v>8.2531212164774196E-7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1.3292477450873299</v>
          </cell>
          <cell r="I17">
            <v>4.5358071708035502E-7</v>
          </cell>
          <cell r="J17">
            <v>6.2839643449672603E-7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9.8040416544142607E-7</v>
          </cell>
          <cell r="F18">
            <v>2.24315929685411E-7</v>
          </cell>
          <cell r="G18">
            <v>3.4304968638403703E-7</v>
          </cell>
          <cell r="H18">
            <v>3.4417846444983499E-7</v>
          </cell>
          <cell r="I18">
            <v>8.1589412385096102E-7</v>
          </cell>
          <cell r="J18">
            <v>1.3731118176450601E-6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5.0685562971048502E-2</v>
          </cell>
          <cell r="F19">
            <v>8.0452015171824903E-2</v>
          </cell>
          <cell r="G19">
            <v>1.83870542714649E-3</v>
          </cell>
          <cell r="H19">
            <v>8.8561462864880203E-2</v>
          </cell>
          <cell r="I19">
            <v>0.106761903563016</v>
          </cell>
          <cell r="J19">
            <v>0.201628596574843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3.9569678137343602E-7</v>
          </cell>
          <cell r="F20">
            <v>1.2298414021957801E-7</v>
          </cell>
          <cell r="G20">
            <v>1.9889986248376301E-7</v>
          </cell>
          <cell r="H20">
            <v>1.0554161636876901E-7</v>
          </cell>
          <cell r="I20">
            <v>2.18384076279798E-7</v>
          </cell>
          <cell r="J20">
            <v>3.8825956664360499E-7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1.0440853156175999E-5</v>
          </cell>
          <cell r="J21">
            <v>1.0096465941394699E-5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1.3235812894681E-6</v>
          </cell>
          <cell r="F22">
            <v>4.0798265342458703E-5</v>
          </cell>
          <cell r="G22">
            <v>1.6343795410395299E-6</v>
          </cell>
          <cell r="H22">
            <v>7.0914325453565496E-7</v>
          </cell>
          <cell r="I22">
            <v>7.0828962431920999E-6</v>
          </cell>
          <cell r="J22">
            <v>5.2823666791066003E-6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6.9391498828282397E-4</v>
          </cell>
          <cell r="J23">
            <v>4.5061418542136902E-4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0.22236112920642101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2.57689269349217E-5</v>
          </cell>
          <cell r="J25">
            <v>1.24206504796995E-6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7.3374953795805396E-7</v>
          </cell>
          <cell r="J26">
            <v>8.08386691273538E-5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4.6385205192669803E-4</v>
          </cell>
          <cell r="F27">
            <v>6.02330874083205E-4</v>
          </cell>
          <cell r="G27">
            <v>3.1999170613657901E-3</v>
          </cell>
          <cell r="H27">
            <v>0.59870429013230997</v>
          </cell>
          <cell r="I27">
            <v>0.56118725416316595</v>
          </cell>
          <cell r="J27">
            <v>1.0962074901635299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5.3821457126205803E-7</v>
          </cell>
          <cell r="F28">
            <v>2.9525189980713198E-7</v>
          </cell>
          <cell r="G28">
            <v>4.2093696420305398E-7</v>
          </cell>
          <cell r="H28">
            <v>4.7744082762908401E-7</v>
          </cell>
          <cell r="I28">
            <v>2.2337843395218601E-6</v>
          </cell>
          <cell r="J28">
            <v>6.9920915396203903E-7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1.4271001644730401E-5</v>
          </cell>
          <cell r="J29">
            <v>1.4784914020938799E-7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0.152900154660256</v>
          </cell>
          <cell r="F30">
            <v>5.4540030214997703E-2</v>
          </cell>
          <cell r="G30">
            <v>1.8341110078545899E-6</v>
          </cell>
          <cell r="H30">
            <v>2.0519424981487E-6</v>
          </cell>
          <cell r="I30">
            <v>1.8574245866721701E-2</v>
          </cell>
          <cell r="J30">
            <v>1.9036447764537501E-2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0.44752434871633301</v>
          </cell>
          <cell r="I31">
            <v>1.3815986344100899E-2</v>
          </cell>
          <cell r="J31">
            <v>2.7578831990572501E-2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5.4081231416824504E-3</v>
          </cell>
          <cell r="F32">
            <v>7.1602991187327602E-7</v>
          </cell>
          <cell r="G32">
            <v>3.9246809489126802E-2</v>
          </cell>
          <cell r="H32">
            <v>1.70340372593927E-2</v>
          </cell>
          <cell r="I32">
            <v>7.9385434272071599E-7</v>
          </cell>
          <cell r="J32">
            <v>4.1997648431869898E-6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1.3573423310587401E-6</v>
          </cell>
          <cell r="F33">
            <v>7.4180974084185504E-7</v>
          </cell>
          <cell r="G33">
            <v>1.13648094487397E-6</v>
          </cell>
          <cell r="H33">
            <v>2.0468400197140001E-6</v>
          </cell>
          <cell r="I33">
            <v>3.78681777024506E-6</v>
          </cell>
          <cell r="J33">
            <v>6.7875916709937096E-5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3.09742405964524E-6</v>
          </cell>
          <cell r="I34">
            <v>0.24444535005655299</v>
          </cell>
          <cell r="J34">
            <v>9.06901953773364E-7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1.2852114804108199E-3</v>
          </cell>
          <cell r="J35">
            <v>1.37569363874863E-3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2.5660483343708399E-5</v>
          </cell>
          <cell r="J36">
            <v>6.3408182744305599E-6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9.5935225446028098E-7</v>
          </cell>
          <cell r="I37">
            <v>2.8443208423239995E-6</v>
          </cell>
          <cell r="J37">
            <v>9.0886227218434508E-5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3.1055850201969801E-5</v>
          </cell>
          <cell r="J38">
            <v>3.2236598603623681E-5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1.5697509637250399E-5</v>
          </cell>
          <cell r="I39">
            <v>1.4732620067051698</v>
          </cell>
          <cell r="J39">
            <v>2.9509403916989165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1.3627089794606201E-6</v>
          </cell>
          <cell r="I40">
            <v>2.1960792844427816E-4</v>
          </cell>
          <cell r="J40">
            <v>2.1629301191770434E-4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1.0275151270156913</v>
          </cell>
          <cell r="F41">
            <v>1.0275156569871218</v>
          </cell>
          <cell r="G41">
            <v>1.0275163733182477</v>
          </cell>
          <cell r="H41">
            <v>1.027517412820188</v>
          </cell>
          <cell r="I41">
            <v>1.0275220279754265</v>
          </cell>
          <cell r="J41">
            <v>0.72469143372863043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2.5025394251297398E-3</v>
          </cell>
          <cell r="J42">
            <v>2.5655569742752599E-3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0.21266751865117853</v>
          </cell>
          <cell r="F43">
            <v>0.21170253740580727</v>
          </cell>
          <cell r="G43">
            <v>0.21170102437349858</v>
          </cell>
          <cell r="H43">
            <v>0.26146590265014652</v>
          </cell>
          <cell r="I43">
            <v>0.26140001587860401</v>
          </cell>
          <cell r="J43">
            <v>0.37187086732172014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3.8320336829057802E-7</v>
          </cell>
          <cell r="F44">
            <v>7.8951433274972403E-7</v>
          </cell>
          <cell r="G44">
            <v>1.2795814994816701E-6</v>
          </cell>
          <cell r="H44">
            <v>1.88327104183128E-6</v>
          </cell>
          <cell r="I44">
            <v>5.03809381774107E-6</v>
          </cell>
          <cell r="J44">
            <v>3.9955241649042902E-4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4.238294473772132E-2</v>
          </cell>
          <cell r="F45">
            <v>0.11111139011483097</v>
          </cell>
          <cell r="G45">
            <v>0.11110940571912242</v>
          </cell>
          <cell r="H45">
            <v>0.10625803960519384</v>
          </cell>
          <cell r="I45">
            <v>9.2118079093407232E-2</v>
          </cell>
          <cell r="J45">
            <v>0.32246864691458615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3.1444068971644103E-5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0.95961794413852208</v>
          </cell>
          <cell r="F47">
            <v>0.95961810254588176</v>
          </cell>
          <cell r="G47">
            <v>0.95961828712113784</v>
          </cell>
          <cell r="H47">
            <v>0.95961844799635487</v>
          </cell>
          <cell r="I47">
            <v>0.95961908488524861</v>
          </cell>
          <cell r="J47">
            <v>0.48125544357745537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0.45204214522455499</v>
          </cell>
          <cell r="I48">
            <v>0.47991098430535301</v>
          </cell>
          <cell r="J48">
            <v>0.507775433092715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3.01164496448295E-6</v>
          </cell>
          <cell r="I49">
            <v>0.12421563923409597</v>
          </cell>
          <cell r="J49">
            <v>0.12419172158835831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1.3292477450873299</v>
          </cell>
          <cell r="I50">
            <v>1.3292484342469399</v>
          </cell>
          <cell r="J50">
            <v>1.3292490626433799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2.2350531820293056</v>
          </cell>
          <cell r="F51">
            <v>2.2350534063452354</v>
          </cell>
          <cell r="G51">
            <v>2.2350537493949219</v>
          </cell>
          <cell r="H51">
            <v>2.2350540935733862</v>
          </cell>
          <cell r="I51">
            <v>2.2350555267042234</v>
          </cell>
          <cell r="J51">
            <v>1.120895200679761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5.0685562971048502E-2</v>
          </cell>
          <cell r="F52">
            <v>0.13113718480772177</v>
          </cell>
          <cell r="G52">
            <v>0.13297481501228625</v>
          </cell>
          <cell r="H52">
            <v>0.22153455177883039</v>
          </cell>
          <cell r="I52">
            <v>0.27948796858173991</v>
          </cell>
          <cell r="J52">
            <v>0.34965178740322161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3.0972404030927017</v>
          </cell>
          <cell r="F53">
            <v>3.0972405260768419</v>
          </cell>
          <cell r="G53">
            <v>3.0972407249767042</v>
          </cell>
          <cell r="H53">
            <v>3.0972408305183206</v>
          </cell>
          <cell r="I53">
            <v>3.0972412120024493</v>
          </cell>
          <cell r="J53">
            <v>1.553283840902316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1.0440853156175999E-5</v>
          </cell>
          <cell r="J54">
            <v>2.0470570532732324E-5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1.3235812894681E-6</v>
          </cell>
          <cell r="F55">
            <v>4.2033776094681958E-5</v>
          </cell>
          <cell r="G55">
            <v>4.3471902599830242E-5</v>
          </cell>
          <cell r="H55">
            <v>4.3728466586237608E-5</v>
          </cell>
          <cell r="I55">
            <v>4.7502816596462284E-5</v>
          </cell>
          <cell r="J55">
            <v>2.6586973951093968E-5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6.9391498828282397E-4</v>
          </cell>
          <cell r="J56">
            <v>6.8807897873585013E-4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0.22236112920642101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2.57689269349217E-5</v>
          </cell>
          <cell r="J58">
            <v>2.7010991982891701E-5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7.3374953795805396E-7</v>
          </cell>
          <cell r="J59">
            <v>8.1418526926291092E-5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4.6385205192669803E-4</v>
          </cell>
          <cell r="F60">
            <v>1.0658763479344426E-3</v>
          </cell>
          <cell r="G60">
            <v>4.2651711194746809E-3</v>
          </cell>
          <cell r="H60">
            <v>0.60296857850547525</v>
          </cell>
          <cell r="I60">
            <v>1.1635615159805954</v>
          </cell>
          <cell r="J60">
            <v>1.8130807062821008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2.0237053736394763E-2</v>
          </cell>
          <cell r="F61">
            <v>1.4423095665014367E-2</v>
          </cell>
          <cell r="G61">
            <v>9.8304974514969168E-5</v>
          </cell>
          <cell r="H61">
            <v>6.3384087839998826E-5</v>
          </cell>
          <cell r="I61">
            <v>3.5074300451244643E-5</v>
          </cell>
          <cell r="J61">
            <v>2.8311722491331241E-5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1.4271001644730401E-5</v>
          </cell>
          <cell r="J62">
            <v>1.4418850784939799E-5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0.3551990465228731</v>
          </cell>
          <cell r="F63">
            <v>0.40973837833656246</v>
          </cell>
          <cell r="G63">
            <v>6.091022860769002E-2</v>
          </cell>
          <cell r="H63">
            <v>5.7090731200976963E-2</v>
          </cell>
          <cell r="I63">
            <v>4.7735014575034401E-2</v>
          </cell>
          <cell r="J63">
            <v>3.7615114180318668E-2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0.44752434871633301</v>
          </cell>
          <cell r="I64">
            <v>0.47513758708154602</v>
          </cell>
          <cell r="J64">
            <v>0.50271641907211895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7.4453868397199368E-3</v>
          </cell>
          <cell r="F65">
            <v>7.4456210922953566E-3</v>
          </cell>
          <cell r="G65">
            <v>4.6692187494354283E-2</v>
          </cell>
          <cell r="H65">
            <v>6.260528942637307E-2</v>
          </cell>
          <cell r="I65">
            <v>5.0860215363393579E-5</v>
          </cell>
          <cell r="J65">
            <v>1.7245107986300391E-5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1.984484727608431</v>
          </cell>
          <cell r="F66">
            <v>1.9844854694181719</v>
          </cell>
          <cell r="G66">
            <v>1.9844866058991169</v>
          </cell>
          <cell r="H66">
            <v>1.9844886527391365</v>
          </cell>
          <cell r="I66">
            <v>1.9844961370107039</v>
          </cell>
          <cell r="J66">
            <v>1.0955400801072337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3.09742405964524E-6</v>
          </cell>
          <cell r="I67">
            <v>0.24445742262564241</v>
          </cell>
          <cell r="J67">
            <v>5.9951811707862013E-2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1.2852114804108199E-3</v>
          </cell>
          <cell r="J68">
            <v>2.3037626131983432E-3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2.5660483343708399E-5</v>
          </cell>
          <cell r="J69">
            <v>3.2001301618138899E-5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4.038450766879962E-2</v>
          </cell>
          <cell r="J70">
            <v>6.5773726020477994E-3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162.72611173189324</v>
          </cell>
          <cell r="J71">
            <v>116.23438875426632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102.51676918726355</v>
          </cell>
          <cell r="J72">
            <v>8.9984782071832807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0.1125882352323514</v>
          </cell>
          <cell r="F73">
            <v>0.11206555606583969</v>
          </cell>
          <cell r="G73">
            <v>0.10855955704427284</v>
          </cell>
          <cell r="H73">
            <v>0.13842296791308795</v>
          </cell>
          <cell r="I73">
            <v>0.13838889489521775</v>
          </cell>
          <cell r="J73">
            <v>0.19687261920848581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1.1714396929629586E-5</v>
          </cell>
          <cell r="G74">
            <v>1.1607578815800561E-5</v>
          </cell>
          <cell r="H74">
            <v>1.3540013880297401E-5</v>
          </cell>
          <cell r="I74">
            <v>1.6294934252184855E-5</v>
          </cell>
          <cell r="J74">
            <v>8.7428787574001787E-6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1.3772038935458632E-5</v>
          </cell>
          <cell r="J75">
            <v>2.1217409050062452E-5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0.36186675228452719</v>
          </cell>
          <cell r="F76">
            <v>4.5828010471489544E-2</v>
          </cell>
          <cell r="G76">
            <v>2.0886283188147718</v>
          </cell>
          <cell r="H76">
            <v>22.438398597005705</v>
          </cell>
          <cell r="I76">
            <v>18.316276874711516</v>
          </cell>
          <cell r="J76">
            <v>17.060066914594262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4.755491500290321E-3</v>
          </cell>
          <cell r="J77">
            <v>2.0637694511079399E-2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1026.0853596698394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2.0864604524908258E-2</v>
          </cell>
          <cell r="J79">
            <v>3.2895728581693678E-2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4.6573797638364188E-2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2.1452888201938017E-3</v>
          </cell>
          <cell r="J81">
            <v>7.0459853105246109E-4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2.7899668875568822E-3</v>
          </cell>
          <cell r="J82">
            <v>1.4450817954069873E-2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2.2035645257679048E-2</v>
          </cell>
          <cell r="J83">
            <v>7.2457642311821502E-2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3.6287233495825512E-4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6.402087889567159E-4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9.6793714232612977</v>
          </cell>
          <cell r="F86">
            <v>9.6344359486317597</v>
          </cell>
          <cell r="G86">
            <v>9.3330202041776289</v>
          </cell>
          <cell r="H86">
            <v>11.900420298585198</v>
          </cell>
          <cell r="I86">
            <v>11.898505825543172</v>
          </cell>
          <cell r="J86">
            <v>16.927240636603241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9.3550757822962252E-4</v>
          </cell>
          <cell r="J87">
            <v>1.0741404794714566E-3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9.6793714232612977</v>
          </cell>
          <cell r="F88">
            <v>9.6344359486317597</v>
          </cell>
          <cell r="G88">
            <v>9.3330202041776289</v>
          </cell>
          <cell r="H88">
            <v>11.900420298585198</v>
          </cell>
          <cell r="I88">
            <v>11.897490992563132</v>
          </cell>
          <cell r="J88">
            <v>16.925420319952387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1.7670524302505669E-4</v>
          </cell>
          <cell r="J89">
            <v>7.6685844645806294E-4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7.1603737001417771E-4</v>
          </cell>
          <cell r="J90">
            <v>1.1662008159659209E-4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1.8290854527454907E-3</v>
          </cell>
          <cell r="I91">
            <v>1.2009997052993921E-3</v>
          </cell>
          <cell r="J91">
            <v>3.4733397315042327E-4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5.5222949486827897</v>
          </cell>
          <cell r="F92">
            <v>0.97021030588573698</v>
          </cell>
          <cell r="G92">
            <v>6.2442414248668241</v>
          </cell>
          <cell r="H92">
            <v>6.7802015644253766</v>
          </cell>
          <cell r="I92">
            <v>2.095925533680119</v>
          </cell>
          <cell r="J92">
            <v>1.6262269029632324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0.27718452964048806</v>
          </cell>
          <cell r="F93">
            <v>0.16971317535751992</v>
          </cell>
          <cell r="G93">
            <v>0.2090764689959248</v>
          </cell>
          <cell r="H93">
            <v>2.1693447422662358E-2</v>
          </cell>
          <cell r="I93">
            <v>2.3878522690873295E-2</v>
          </cell>
          <cell r="J93">
            <v>2.1537783087018661E-2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26.997762666982748</v>
          </cell>
          <cell r="F94">
            <v>27.030427450953155</v>
          </cell>
          <cell r="G94">
            <v>21.522343340931066</v>
          </cell>
          <cell r="H94">
            <v>13.637230833012525</v>
          </cell>
          <cell r="I94">
            <v>5.2694493819783501</v>
          </cell>
          <cell r="J94">
            <v>3.3349172268368683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47.029713079393694</v>
          </cell>
          <cell r="F95">
            <v>46.60530200684012</v>
          </cell>
          <cell r="G95">
            <v>43.775280889058081</v>
          </cell>
          <cell r="H95">
            <v>28.319278543644955</v>
          </cell>
          <cell r="I95">
            <v>16.188225628300636</v>
          </cell>
          <cell r="J95">
            <v>10.159351588426981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37.267259668377505</v>
          </cell>
          <cell r="F96">
            <v>31.944156988693521</v>
          </cell>
          <cell r="G96">
            <v>29.983641984865145</v>
          </cell>
          <cell r="H96">
            <v>11.13648609775051</v>
          </cell>
          <cell r="I96">
            <v>2.2737641798544432</v>
          </cell>
          <cell r="J96">
            <v>7.0821021830153725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311.45743510570998</v>
          </cell>
          <cell r="F97">
            <v>54.719861251955599</v>
          </cell>
          <cell r="G97">
            <v>352.17521636248898</v>
          </cell>
          <cell r="H97">
            <v>382.40336823359098</v>
          </cell>
          <cell r="I97">
            <v>118.210200099559</v>
          </cell>
          <cell r="J97">
            <v>91.719197327126295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689.197859826632</v>
          </cell>
          <cell r="F98">
            <v>648.10760250032502</v>
          </cell>
          <cell r="G98">
            <v>595.66321077916996</v>
          </cell>
          <cell r="H98">
            <v>519.70966941093002</v>
          </cell>
          <cell r="I98">
            <v>216.57187518380101</v>
          </cell>
          <cell r="J98">
            <v>1.3843464515861999E-4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15.6332074717235</v>
          </cell>
          <cell r="F99">
            <v>9.5718230901641306</v>
          </cell>
          <cell r="G99">
            <v>11.791912851370199</v>
          </cell>
          <cell r="H99">
            <v>1.22351043463816</v>
          </cell>
          <cell r="I99">
            <v>1.3467486797652599</v>
          </cell>
          <cell r="J99">
            <v>1.21473096610785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1522.67381441783</v>
          </cell>
          <cell r="F100">
            <v>1524.51610823376</v>
          </cell>
          <cell r="G100">
            <v>1213.86016442851</v>
          </cell>
          <cell r="H100">
            <v>769.13981898190696</v>
          </cell>
          <cell r="I100">
            <v>297.196945143579</v>
          </cell>
          <cell r="J100">
            <v>188.08933159359901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2652.47581767781</v>
          </cell>
          <cell r="F101">
            <v>2628.5390331857802</v>
          </cell>
          <cell r="G101">
            <v>2468.9258421428699</v>
          </cell>
          <cell r="H101">
            <v>1597.2073098615799</v>
          </cell>
          <cell r="I101">
            <v>913.01592543615595</v>
          </cell>
          <cell r="J101">
            <v>572.98742958728201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-4.7554915002903202E-3</v>
          </cell>
          <cell r="J102">
            <v>-2.0637694511079399E-2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2267.7888438954901</v>
          </cell>
          <cell r="F103">
            <v>1898.7866979217799</v>
          </cell>
          <cell r="G103">
            <v>1832.9543916322</v>
          </cell>
          <cell r="H103">
            <v>919.81988515123999</v>
          </cell>
          <cell r="I103">
            <v>177.47470370384701</v>
          </cell>
          <cell r="J103">
            <v>1.07510528403909E-4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4514.4833536305996</v>
          </cell>
          <cell r="F104">
            <v>3846.52684304173</v>
          </cell>
          <cell r="G104">
            <v>3553.0930143365799</v>
          </cell>
          <cell r="H104">
            <v>1565.8512776851801</v>
          </cell>
          <cell r="I104">
            <v>222.72950551917199</v>
          </cell>
          <cell r="J104">
            <v>2.2768762088806101E-4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5904.96493176687</v>
          </cell>
          <cell r="F105">
            <v>5902.0307932308197</v>
          </cell>
          <cell r="G105">
            <v>5569.5609701091498</v>
          </cell>
          <cell r="H105">
            <v>3606.3787977358802</v>
          </cell>
          <cell r="I105">
            <v>1304.4563641705799</v>
          </cell>
          <cell r="J105">
            <v>116.23438875426601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-1026.08535966984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-2.0864604524908299E-2</v>
          </cell>
          <cell r="J107">
            <v>-3.2895728581693699E-2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-4.6573797638364202E-2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-2.1452888201938E-3</v>
          </cell>
          <cell r="J109">
            <v>-7.0459853105246098E-4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2101.87344529649</v>
          </cell>
          <cell r="F110">
            <v>1801.6504541623201</v>
          </cell>
          <cell r="G110">
            <v>1691.0774079463899</v>
          </cell>
          <cell r="H110">
            <v>628.09781591312799</v>
          </cell>
          <cell r="I110">
            <v>128.24029974379101</v>
          </cell>
          <cell r="J110">
            <v>399.43056312206699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-2.78996688755688E-3</v>
          </cell>
          <cell r="J111">
            <v>-1.4450817954069901E-2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-2.20356452576791E-2</v>
          </cell>
          <cell r="J112">
            <v>-7.2457642311821502E-2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5.7124761437811724</v>
          </cell>
          <cell r="F113">
            <v>0.96740953791933049</v>
          </cell>
          <cell r="G113">
            <v>7.0184182172152614</v>
          </cell>
          <cell r="H113">
            <v>6.9679283722850824</v>
          </cell>
          <cell r="I113">
            <v>3.4014778049862406</v>
          </cell>
          <cell r="J113">
            <v>9.9566100954519392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9.1952164501967886</v>
          </cell>
          <cell r="F114">
            <v>8.6469938973805149</v>
          </cell>
          <cell r="G114">
            <v>7.947569608682703</v>
          </cell>
          <cell r="H114">
            <v>6.9341957739535962</v>
          </cell>
          <cell r="I114">
            <v>3.1176785131137836</v>
          </cell>
          <cell r="J114">
            <v>0.22820647807538408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2.256354966963164E-3</v>
          </cell>
          <cell r="J115">
            <v>1.0526920510023578E-3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2.2378039740190156E-3</v>
          </cell>
          <cell r="J116">
            <v>9.6058585394428705E-4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1.8550992944148734E-5</v>
          </cell>
          <cell r="J117">
            <v>9.2106197058071577E-5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2.9709323464766619</v>
          </cell>
          <cell r="F118">
            <v>2.9709293160098822</v>
          </cell>
          <cell r="G118">
            <v>2.9709344874743824</v>
          </cell>
          <cell r="H118">
            <v>2.383917915964024</v>
          </cell>
          <cell r="I118">
            <v>4.4604183438900504</v>
          </cell>
          <cell r="J118">
            <v>26.023088147564422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1.4053024232042349E-3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4.7746359862928326E-4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9.2783882457495113E-4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2.5904996355875283E-4</v>
          </cell>
          <cell r="I122">
            <v>2.1338977014436353</v>
          </cell>
          <cell r="J122">
            <v>2.1350123566917341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3.3661082981926405</v>
          </cell>
          <cell r="I123">
            <v>3.5736094977609887</v>
          </cell>
          <cell r="J123">
            <v>3.7811012879843662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3.3661082981926405</v>
          </cell>
          <cell r="I124">
            <v>3.5736094977609887</v>
          </cell>
          <cell r="J124">
            <v>3.7811012879843662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1.1764718808981853</v>
          </cell>
          <cell r="F125">
            <v>3.399742965128751</v>
          </cell>
          <cell r="G125">
            <v>3.2124854963107503</v>
          </cell>
          <cell r="H125">
            <v>3.2514638735285852</v>
          </cell>
          <cell r="I125">
            <v>2.8187673305783587</v>
          </cell>
          <cell r="J125">
            <v>9.8675116844044428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0.20843038328364374</v>
          </cell>
          <cell r="F126">
            <v>2.8973749310964652E-4</v>
          </cell>
          <cell r="G126">
            <v>0.79263793128961557</v>
          </cell>
          <cell r="H126">
            <v>4.2646994778832228E-4</v>
          </cell>
          <cell r="I126">
            <v>1.2945125860649702</v>
          </cell>
          <cell r="J126">
            <v>8.3420229186639556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1.4097918298525533E-3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2.2574784929956564E-2</v>
          </cell>
          <cell r="F128">
            <v>1.7954411263787103E-2</v>
          </cell>
          <cell r="G128">
            <v>2.2103756274836368E-2</v>
          </cell>
          <cell r="H128">
            <v>4.6990209028719464E-3</v>
          </cell>
          <cell r="I128">
            <v>1.9373139639666147E-4</v>
          </cell>
          <cell r="J128">
            <v>1.5748780739408292E-4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0.3067005106982631</v>
          </cell>
          <cell r="F129">
            <v>1.5492568142003889</v>
          </cell>
          <cell r="G129">
            <v>0.998868600709238</v>
          </cell>
          <cell r="H129">
            <v>1.2329747845071366</v>
          </cell>
          <cell r="I129">
            <v>3.7148899307442223E-4</v>
          </cell>
          <cell r="J129">
            <v>3.1099276473499257E-4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0.3108698020572076</v>
          </cell>
          <cell r="F130">
            <v>1.8319991545244689</v>
          </cell>
          <cell r="G130">
            <v>1.3980737544670683</v>
          </cell>
          <cell r="H130">
            <v>2.0126094042663301</v>
          </cell>
          <cell r="I130">
            <v>3.6456010064869445E-4</v>
          </cell>
          <cell r="J130">
            <v>3.0989874808781817E-4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0.32791113187919763</v>
          </cell>
          <cell r="F131">
            <v>3.6573968364245923E-4</v>
          </cell>
          <cell r="G131">
            <v>8.686439220157798E-4</v>
          </cell>
          <cell r="H131">
            <v>8.6967277111617812E-4</v>
          </cell>
          <cell r="I131">
            <v>1.5235946592009579</v>
          </cell>
          <cell r="J131">
            <v>1.5235593077519447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9.351395655720923</v>
          </cell>
          <cell r="F132">
            <v>8.7938616350112007</v>
          </cell>
          <cell r="G132">
            <v>8.0822688029738181</v>
          </cell>
          <cell r="H132">
            <v>7.0516915795241628</v>
          </cell>
          <cell r="I132">
            <v>2.9385600431994696</v>
          </cell>
          <cell r="J132">
            <v>1.8783533942824976E-6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30.770540622733975</v>
          </cell>
          <cell r="F133">
            <v>25.763727244528926</v>
          </cell>
          <cell r="G133">
            <v>24.870480212105758</v>
          </cell>
          <cell r="H133">
            <v>12.480595456597564</v>
          </cell>
          <cell r="I133">
            <v>2.4080692497129887</v>
          </cell>
          <cell r="J133">
            <v>1.4587588657246874E-6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61.254862328773363</v>
          </cell>
          <cell r="F134">
            <v>52.191680366916337</v>
          </cell>
          <cell r="G134">
            <v>48.210217290862751</v>
          </cell>
          <cell r="H134">
            <v>21.246285993014613</v>
          </cell>
          <cell r="I134">
            <v>3.0221099799073516</v>
          </cell>
          <cell r="J134">
            <v>3.0893842725652693E-6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3.798090633250323</v>
          </cell>
          <cell r="F135">
            <v>9.7111755425622288</v>
          </cell>
          <cell r="G135">
            <v>10.246746572481925</v>
          </cell>
          <cell r="H135">
            <v>17.106700972075618</v>
          </cell>
          <cell r="I135">
            <v>21.581828846391719</v>
          </cell>
          <cell r="J135">
            <v>26.999997589766206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0.29880618479438603</v>
          </cell>
          <cell r="F136">
            <v>0.18916600009735371</v>
          </cell>
          <cell r="G136">
            <v>0.23711909242323054</v>
          </cell>
          <cell r="H136">
            <v>2.7081133254532947E-2</v>
          </cell>
          <cell r="I136">
            <v>2.4050707675226785E-2</v>
          </cell>
          <cell r="J136">
            <v>2.1803430686745857E-2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8.647432155271737</v>
          </cell>
          <cell r="F137">
            <v>9.0906989886695442</v>
          </cell>
          <cell r="G137">
            <v>4.1356726030156059</v>
          </cell>
          <cell r="H137">
            <v>4.9816450620006307</v>
          </cell>
          <cell r="I137">
            <v>1.3093388208392642</v>
          </cell>
          <cell r="J137">
            <v>11.243106697102624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2.2049608635757916</v>
          </cell>
          <cell r="J138">
            <v>1.5749917175374837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80.013074956190735</v>
          </cell>
          <cell r="F139">
            <v>79.973316981447425</v>
          </cell>
          <cell r="G139">
            <v>75.468305828037288</v>
          </cell>
          <cell r="H139">
            <v>48.866921378535025</v>
          </cell>
          <cell r="I139">
            <v>17.675560490116268</v>
          </cell>
          <cell r="J139">
            <v>1.5749917175374837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0.43672772752918304</v>
          </cell>
          <cell r="F140">
            <v>0.55206570967543545</v>
          </cell>
          <cell r="G140">
            <v>3.2870546243717591</v>
          </cell>
          <cell r="H140">
            <v>3.2870587088070895</v>
          </cell>
          <cell r="I140">
            <v>7.6944180880994013</v>
          </cell>
          <cell r="J140">
            <v>7.6944478255217961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27.217513575673827</v>
          </cell>
          <cell r="F141">
            <v>28.488673789826645</v>
          </cell>
          <cell r="G141">
            <v>22.462423181360307</v>
          </cell>
          <cell r="H141">
            <v>15.281110133187958</v>
          </cell>
          <cell r="I141">
            <v>5.2528006102363136</v>
          </cell>
          <cell r="J141">
            <v>3.3323303281517833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4.0484913369355118E-5</v>
          </cell>
          <cell r="I142">
            <v>5.6336677746591769E-5</v>
          </cell>
          <cell r="J142">
            <v>1.6553629355308806E-5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1.7343375469196779E-4</v>
          </cell>
          <cell r="I143">
            <v>3.9203157790517373</v>
          </cell>
          <cell r="J143">
            <v>9.306093982364672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2.6920803402840098E-5</v>
          </cell>
          <cell r="I144">
            <v>2.5087380838492732E-5</v>
          </cell>
          <cell r="J144">
            <v>1.6555537167768633E-5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4.0489643867206348E-5</v>
          </cell>
          <cell r="I145">
            <v>5.3644150498040052E-5</v>
          </cell>
          <cell r="J145">
            <v>1.6639285159519527E-5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6.5538394052566207E-5</v>
          </cell>
          <cell r="I146">
            <v>3.9201807108426623</v>
          </cell>
          <cell r="J146">
            <v>9.3060442339129885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3.6287233495825512E-4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4.0849759916597891E-5</v>
          </cell>
          <cell r="I148">
            <v>6.2885828711503532E-5</v>
          </cell>
          <cell r="J148">
            <v>2.2566849432962215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1.7173670250869173E-4</v>
          </cell>
          <cell r="I149">
            <v>3.8811109075779382</v>
          </cell>
          <cell r="J149">
            <v>9.2131038880084173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5.6963357711652403E-5</v>
          </cell>
          <cell r="I150">
            <v>3.8809405427103023</v>
          </cell>
          <cell r="J150">
            <v>4.661931975135083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4.0590788220117651E-5</v>
          </cell>
          <cell r="I151">
            <v>5.8697221509171706E-5</v>
          </cell>
          <cell r="J151">
            <v>2.2944562860229927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3.3332796660324019E-5</v>
          </cell>
          <cell r="I152">
            <v>4.8781817411623881E-5</v>
          </cell>
          <cell r="J152">
            <v>3.0683554121441126E-5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1.7647625038987334E-4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1.497607274920415E-2</v>
          </cell>
          <cell r="J154">
            <v>8.6452726854985978E-3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5.9040625854018476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J156">
            <v>6.402087889567159E-4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5.1153768807553788E-3</v>
          </cell>
          <cell r="F157">
            <v>1.8045039327849829E-2</v>
          </cell>
          <cell r="G157">
            <v>8.4710423703633325E-2</v>
          </cell>
          <cell r="H157">
            <v>14.405670338487436</v>
          </cell>
          <cell r="I157">
            <v>14.183212051592985</v>
          </cell>
          <cell r="J157">
            <v>13.98203653947188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3.3324472152107134</v>
          </cell>
          <cell r="I158">
            <v>3.5378734027833776</v>
          </cell>
          <cell r="J158">
            <v>3.7432902751045249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4.0484913369355118E-5</v>
          </cell>
          <cell r="I159">
            <v>5.6336677746591769E-5</v>
          </cell>
          <cell r="J159">
            <v>1.6553629355308806E-5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1.7343375469196779E-4</v>
          </cell>
          <cell r="I160">
            <v>3.9203157790517373</v>
          </cell>
          <cell r="J160">
            <v>9.306093982364672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2.6920803402840098E-5</v>
          </cell>
          <cell r="I161">
            <v>2.5087380838492732E-5</v>
          </cell>
          <cell r="J161">
            <v>1.6555537167768633E-5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4.0489643867206348E-5</v>
          </cell>
          <cell r="I162">
            <v>5.3644150498040052E-5</v>
          </cell>
          <cell r="J162">
            <v>1.6639285159519527E-5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6.5538394052566207E-5</v>
          </cell>
          <cell r="I163">
            <v>3.9201807108426623</v>
          </cell>
          <cell r="J163">
            <v>9.3060442339129885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9.2991866235607478E-4</v>
          </cell>
          <cell r="J164">
            <v>1.5145465142414569E-4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3.9758274248078403E-3</v>
          </cell>
          <cell r="H165">
            <v>0.20961546088979494</v>
          </cell>
          <cell r="I165">
            <v>2.1944885683589141E-2</v>
          </cell>
          <cell r="J165">
            <v>2.0232102678669279E-2</v>
          </cell>
        </row>
        <row r="166">
          <cell r="A166" t="str">
            <v>H2</v>
          </cell>
          <cell r="B166" t="str">
            <v>VAR_fin</v>
          </cell>
          <cell r="C166" t="str">
            <v>D-TNGA</v>
          </cell>
          <cell r="F166">
            <v>2.1019282951720824E-3</v>
          </cell>
          <cell r="G166">
            <v>6.6954072781231543E-3</v>
          </cell>
          <cell r="H166">
            <v>7.7548116697317624E-4</v>
          </cell>
          <cell r="I166">
            <v>5.60989839945663E-5</v>
          </cell>
          <cell r="J166">
            <v>1.776469591571519E-4</v>
          </cell>
        </row>
        <row r="167">
          <cell r="A167" t="str">
            <v>H2</v>
          </cell>
          <cell r="B167" t="str">
            <v>VAR_fin</v>
          </cell>
          <cell r="C167" t="str">
            <v>SUP_H2GSL</v>
          </cell>
          <cell r="I167">
            <v>3.1499440908225593</v>
          </cell>
          <cell r="J167">
            <v>2.2499881679106926</v>
          </cell>
        </row>
        <row r="168">
          <cell r="A168" t="str">
            <v>H2</v>
          </cell>
          <cell r="B168" t="str">
            <v>VAR_fin</v>
          </cell>
          <cell r="C168" t="str">
            <v>D-SNGA</v>
          </cell>
          <cell r="G168">
            <v>1.2970136810543318E-2</v>
          </cell>
          <cell r="H168">
            <v>0.45981400473513701</v>
          </cell>
          <cell r="I168">
            <v>1.5077275981114808E-4</v>
          </cell>
          <cell r="J168">
            <v>8.0046369281763664E-3</v>
          </cell>
        </row>
        <row r="169">
          <cell r="A169" t="str">
            <v>H2</v>
          </cell>
          <cell r="B169" t="str">
            <v>VAR_fin</v>
          </cell>
          <cell r="C169" t="str">
            <v>D-RNGA</v>
          </cell>
          <cell r="G169">
            <v>2.6439452184988423E-2</v>
          </cell>
          <cell r="H169">
            <v>0.93800911942222831</v>
          </cell>
          <cell r="I169">
            <v>1.5896457049809315E-4</v>
          </cell>
          <cell r="J169">
            <v>2.2972168576957049E-2</v>
          </cell>
        </row>
        <row r="170">
          <cell r="A170" t="str">
            <v>H2</v>
          </cell>
          <cell r="B170" t="str">
            <v>VAR_fin</v>
          </cell>
          <cell r="C170" t="str">
            <v>D-INGA</v>
          </cell>
          <cell r="G170">
            <v>1.7835441812687709E-2</v>
          </cell>
          <cell r="H170">
            <v>0.3402001303383691</v>
          </cell>
          <cell r="I170">
            <v>2.0674274051376909E-2</v>
          </cell>
          <cell r="J170">
            <v>1.6461962537456094E-2</v>
          </cell>
        </row>
        <row r="171">
          <cell r="A171" t="str">
            <v>H2</v>
          </cell>
          <cell r="B171" t="str">
            <v>VAR_fin</v>
          </cell>
          <cell r="C171" t="str">
            <v>SUP_H2DSL</v>
          </cell>
          <cell r="I171">
            <v>2.4113649430132043</v>
          </cell>
          <cell r="J171">
            <v>0.21165917596987488</v>
          </cell>
        </row>
        <row r="172">
          <cell r="A172" t="str">
            <v>AUX_H2STG_OUT</v>
          </cell>
          <cell r="B172" t="str">
            <v>VAR_fout</v>
          </cell>
          <cell r="C172" t="str">
            <v>STG-H2</v>
          </cell>
          <cell r="H172">
            <v>4.0849759916597891E-5</v>
          </cell>
          <cell r="I172">
            <v>6.2885828711503532E-5</v>
          </cell>
          <cell r="J172">
            <v>2.2566849432962215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1.7173670250869173E-4</v>
          </cell>
          <cell r="I173">
            <v>3.8811109075779382</v>
          </cell>
          <cell r="J173">
            <v>9.2131038880084173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5.6963357711652403E-5</v>
          </cell>
          <cell r="I174">
            <v>3.8809405427103023</v>
          </cell>
          <cell r="J174">
            <v>4.661931975135083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4.0590788220117651E-5</v>
          </cell>
          <cell r="I175">
            <v>5.8697221509171706E-5</v>
          </cell>
          <cell r="J175">
            <v>2.2944562860229927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3.3332796660324032E-5</v>
          </cell>
          <cell r="I176">
            <v>4.8781817411623881E-5</v>
          </cell>
          <cell r="J176">
            <v>3.0683554121441126E-5</v>
          </cell>
        </row>
        <row r="177">
          <cell r="A177" t="str">
            <v>RNGA</v>
          </cell>
          <cell r="B177" t="str">
            <v>VAR_fout</v>
          </cell>
          <cell r="C177" t="str">
            <v>D-RNGA</v>
          </cell>
          <cell r="E177">
            <v>47.189829328321309</v>
          </cell>
          <cell r="F177">
            <v>48.283055167554849</v>
          </cell>
          <cell r="G177">
            <v>45.055857769921346</v>
          </cell>
          <cell r="H177">
            <v>31.170319753283504</v>
          </cell>
          <cell r="I177">
            <v>16.137196947506851</v>
          </cell>
          <cell r="J177">
            <v>10.150207603718286</v>
          </cell>
        </row>
        <row r="178">
          <cell r="A178" t="str">
            <v>CWOD</v>
          </cell>
          <cell r="B178" t="str">
            <v>VAR_fout</v>
          </cell>
          <cell r="C178" t="str">
            <v>D-CWOD</v>
          </cell>
          <cell r="E178">
            <v>8.647432155271737</v>
          </cell>
          <cell r="F178">
            <v>9.0906989886695442</v>
          </cell>
          <cell r="G178">
            <v>4.1356726030156059</v>
          </cell>
          <cell r="H178">
            <v>4.9816450620006307</v>
          </cell>
          <cell r="I178">
            <v>1.3093388208392642</v>
          </cell>
          <cell r="J178">
            <v>11.243106697102624</v>
          </cell>
        </row>
        <row r="179">
          <cell r="A179" t="str">
            <v>CWOD</v>
          </cell>
          <cell r="B179" t="str">
            <v>VAR_fin</v>
          </cell>
          <cell r="C179" t="str">
            <v>SUP_WODH2</v>
          </cell>
          <cell r="J179">
            <v>2.9412708398312214E-4</v>
          </cell>
        </row>
        <row r="180">
          <cell r="A180" t="str">
            <v>CWOD</v>
          </cell>
          <cell r="B180" t="str">
            <v>VAR_fin</v>
          </cell>
          <cell r="C180" t="str">
            <v>SUP_WODBIO</v>
          </cell>
          <cell r="F180">
            <v>3.9536089637499819E-4</v>
          </cell>
          <cell r="G180">
            <v>3.9175578503326851E-4</v>
          </cell>
          <cell r="H180">
            <v>4.569754684600368E-4</v>
          </cell>
          <cell r="I180">
            <v>5.4995403101123889E-4</v>
          </cell>
          <cell r="J180">
            <v>2.9507215806225573E-4</v>
          </cell>
        </row>
        <row r="181">
          <cell r="A181" t="str">
            <v>CWOD</v>
          </cell>
          <cell r="B181" t="str">
            <v>VAR_fin</v>
          </cell>
          <cell r="C181" t="str">
            <v>SUP_WODH2CCS</v>
          </cell>
          <cell r="J181">
            <v>10.179418250692839</v>
          </cell>
        </row>
        <row r="182">
          <cell r="A182" t="str">
            <v>CWOD</v>
          </cell>
          <cell r="B182" t="str">
            <v>VAR_fin</v>
          </cell>
          <cell r="C182" t="str">
            <v>SUP_WODBIOCCS</v>
          </cell>
          <cell r="I182">
            <v>4.8021100668349282E-4</v>
          </cell>
          <cell r="J182">
            <v>7.7004687531859032E-4</v>
          </cell>
        </row>
        <row r="183">
          <cell r="A183" t="str">
            <v>CWOD</v>
          </cell>
          <cell r="B183" t="str">
            <v>VAR_fin</v>
          </cell>
          <cell r="C183" t="str">
            <v>CT_CWODBDS</v>
          </cell>
          <cell r="E183">
            <v>1.1117288628459205</v>
          </cell>
          <cell r="F183">
            <v>0.79246416157464195</v>
          </cell>
          <cell r="G183">
            <v>1.356233802993439E-3</v>
          </cell>
          <cell r="H183">
            <v>9.1977617645363325E-4</v>
          </cell>
          <cell r="I183">
            <v>7.0239895969111902E-4</v>
          </cell>
          <cell r="J183">
            <v>1.8503752101699995E-4</v>
          </cell>
        </row>
        <row r="184">
          <cell r="A184" t="str">
            <v>CWOD</v>
          </cell>
          <cell r="B184" t="str">
            <v>VAR_fin</v>
          </cell>
          <cell r="C184" t="str">
            <v>CT_CWODETHCCS</v>
          </cell>
          <cell r="I184">
            <v>1.3681688904297205E-4</v>
          </cell>
          <cell r="J184">
            <v>4.4936130806917196E-5</v>
          </cell>
        </row>
        <row r="185">
          <cell r="A185" t="str">
            <v>CWOD</v>
          </cell>
          <cell r="B185" t="str">
            <v>VAR_fin</v>
          </cell>
          <cell r="C185" t="str">
            <v>CT_CWODPLT</v>
          </cell>
          <cell r="E185">
            <v>7.1186162881396822</v>
          </cell>
          <cell r="F185">
            <v>8.2972047988501529</v>
          </cell>
          <cell r="G185">
            <v>1.6248245695768961</v>
          </cell>
          <cell r="H185">
            <v>1.5335764417269742</v>
          </cell>
          <cell r="I185">
            <v>1.3068744800752699</v>
          </cell>
          <cell r="J185">
            <v>1.0608933215356637</v>
          </cell>
        </row>
        <row r="186">
          <cell r="A186" t="str">
            <v>CWOD</v>
          </cell>
          <cell r="B186" t="str">
            <v>VAR_fin</v>
          </cell>
          <cell r="C186" t="str">
            <v>CT_CWODETH</v>
          </cell>
          <cell r="E186">
            <v>0.41708700428613033</v>
          </cell>
          <cell r="F186">
            <v>6.3464778516531093E-4</v>
          </cell>
          <cell r="G186">
            <v>2.509100023067842</v>
          </cell>
          <cell r="H186">
            <v>3.4466918554611601</v>
          </cell>
          <cell r="I186">
            <v>2.4362624781910859E-4</v>
          </cell>
          <cell r="J186">
            <v>5.0649328279521286E-5</v>
          </cell>
        </row>
        <row r="187">
          <cell r="A187" t="str">
            <v>CWOD</v>
          </cell>
          <cell r="B187" t="str">
            <v>VAR_fin</v>
          </cell>
          <cell r="C187" t="str">
            <v>CT_CWODBDSCCS</v>
          </cell>
          <cell r="I187">
            <v>3.5133362974615849E-4</v>
          </cell>
          <cell r="J187">
            <v>1.1552557766553171E-3</v>
          </cell>
        </row>
        <row r="188">
          <cell r="A188" t="str">
            <v>KER</v>
          </cell>
          <cell r="B188" t="str">
            <v>VAR_fout</v>
          </cell>
          <cell r="C188" t="str">
            <v>SUP_H2DSL</v>
          </cell>
          <cell r="I188">
            <v>0.39480261037796344</v>
          </cell>
        </row>
        <row r="189">
          <cell r="A189" t="str">
            <v>BDS</v>
          </cell>
          <cell r="B189" t="str">
            <v>VAR_fout</v>
          </cell>
          <cell r="C189" t="str">
            <v>IMPBDS1</v>
          </cell>
          <cell r="F189">
            <v>0.56759907983670199</v>
          </cell>
          <cell r="G189">
            <v>6.8547437827306201E-4</v>
          </cell>
          <cell r="H189">
            <v>1.6795918747915191E-4</v>
          </cell>
          <cell r="I189">
            <v>2.1245477931241868E-4</v>
          </cell>
          <cell r="J189">
            <v>5.9929032381507202E-4</v>
          </cell>
        </row>
        <row r="190">
          <cell r="A190" t="str">
            <v>BDS</v>
          </cell>
          <cell r="B190" t="str">
            <v>VAR_fout</v>
          </cell>
          <cell r="C190" t="str">
            <v>IMPBDS</v>
          </cell>
          <cell r="E190">
            <v>2.6250959484475453</v>
          </cell>
          <cell r="F190">
            <v>2.1695361516983525</v>
          </cell>
          <cell r="G190">
            <v>3.0155258333844555</v>
          </cell>
          <cell r="H190">
            <v>3.0161645859356057</v>
          </cell>
          <cell r="I190">
            <v>5.167066898263406</v>
          </cell>
          <cell r="J190">
            <v>28.613491305492403</v>
          </cell>
        </row>
        <row r="191">
          <cell r="A191" t="str">
            <v>BDS</v>
          </cell>
          <cell r="B191" t="str">
            <v>VAR_fout</v>
          </cell>
          <cell r="C191" t="str">
            <v>CT_CWODBDS</v>
          </cell>
          <cell r="E191">
            <v>0.39014874990206017</v>
          </cell>
          <cell r="F191">
            <v>0.27810639114744401</v>
          </cell>
          <cell r="G191">
            <v>4.7595501070132944E-4</v>
          </cell>
          <cell r="H191">
            <v>3.2278511193319288E-4</v>
          </cell>
          <cell r="I191">
            <v>2.464990207724582E-4</v>
          </cell>
          <cell r="J191">
            <v>6.4936838398666481E-5</v>
          </cell>
        </row>
        <row r="192">
          <cell r="A192" t="str">
            <v>BDS</v>
          </cell>
          <cell r="B192" t="str">
            <v>VAR_fout</v>
          </cell>
          <cell r="C192" t="str">
            <v>CT_CWODBDSCCS</v>
          </cell>
          <cell r="I192">
            <v>1.2329658878615843E-4</v>
          </cell>
          <cell r="J192">
            <v>4.0542403111258737E-4</v>
          </cell>
        </row>
        <row r="193">
          <cell r="A193" t="str">
            <v>BDS</v>
          </cell>
          <cell r="B193" t="str">
            <v>VAR_fin</v>
          </cell>
          <cell r="C193" t="str">
            <v>D-ILFO</v>
          </cell>
          <cell r="G193">
            <v>2.889393819341482E-4</v>
          </cell>
          <cell r="H193">
            <v>2.8973140430075801E-4</v>
          </cell>
          <cell r="I193">
            <v>0.2321115990585417</v>
          </cell>
          <cell r="J193">
            <v>0.2321105972173069</v>
          </cell>
        </row>
        <row r="194">
          <cell r="A194" t="str">
            <v>BDS</v>
          </cell>
          <cell r="B194" t="str">
            <v>VAR_fin</v>
          </cell>
          <cell r="C194" t="str">
            <v>D-SLFO</v>
          </cell>
          <cell r="G194">
            <v>5.8706247684827296E-4</v>
          </cell>
          <cell r="H194">
            <v>5.5402078635596137E-4</v>
          </cell>
          <cell r="I194">
            <v>8.860137554508752E-4</v>
          </cell>
          <cell r="J194">
            <v>8.0579900541362659E-2</v>
          </cell>
        </row>
        <row r="195">
          <cell r="A195" t="str">
            <v>BDS</v>
          </cell>
          <cell r="B195" t="str">
            <v>VAR_fin</v>
          </cell>
          <cell r="C195" t="str">
            <v>D-RLFO</v>
          </cell>
          <cell r="G195">
            <v>5.9495177118056009E-4</v>
          </cell>
          <cell r="H195">
            <v>5.6284629762675157E-4</v>
          </cell>
          <cell r="I195">
            <v>9.0513081346629809E-4</v>
          </cell>
          <cell r="J195">
            <v>0.17468281486456086</v>
          </cell>
        </row>
        <row r="196">
          <cell r="A196" t="str">
            <v>BDS</v>
          </cell>
          <cell r="B196" t="str">
            <v>VAR_fin</v>
          </cell>
          <cell r="C196" t="str">
            <v>D-TBDS1</v>
          </cell>
          <cell r="E196">
            <v>3.0152446983496071</v>
          </cell>
          <cell r="F196">
            <v>3.0152416226824963</v>
          </cell>
          <cell r="G196">
            <v>3.0152468712809504</v>
          </cell>
          <cell r="H196">
            <v>3.0152804146093759</v>
          </cell>
          <cell r="I196">
            <v>4.9337753005582217</v>
          </cell>
          <cell r="J196">
            <v>28.12722384612708</v>
          </cell>
        </row>
        <row r="197">
          <cell r="A197" t="str">
            <v>BIO</v>
          </cell>
          <cell r="B197" t="str">
            <v>VAR_fout</v>
          </cell>
          <cell r="C197" t="str">
            <v>SUP_WSTHTGBIO</v>
          </cell>
          <cell r="I197">
            <v>6.5485530476073572E-4</v>
          </cell>
          <cell r="J197">
            <v>7.5189833563001909E-4</v>
          </cell>
        </row>
        <row r="198">
          <cell r="A198" t="str">
            <v>BIO</v>
          </cell>
          <cell r="B198" t="str">
            <v>VAR_fout</v>
          </cell>
          <cell r="C198" t="str">
            <v>SUP_WSTBIO</v>
          </cell>
          <cell r="E198">
            <v>5.6294117616175656</v>
          </cell>
          <cell r="F198">
            <v>5.6032778032919843</v>
          </cell>
          <cell r="G198">
            <v>5.427977852213643</v>
          </cell>
          <cell r="H198">
            <v>6.9211483956543942</v>
          </cell>
          <cell r="I198">
            <v>6.9194447447608782</v>
          </cell>
          <cell r="J198">
            <v>9.8436309604242833</v>
          </cell>
        </row>
        <row r="199">
          <cell r="A199" t="str">
            <v>BIO</v>
          </cell>
          <cell r="B199" t="str">
            <v>VAR_fout</v>
          </cell>
          <cell r="C199" t="str">
            <v>D-LBIO</v>
          </cell>
          <cell r="H199">
            <v>2.5904996355875283E-4</v>
          </cell>
          <cell r="I199">
            <v>2.1338977014436353</v>
          </cell>
          <cell r="J199">
            <v>2.1350123566917341</v>
          </cell>
        </row>
        <row r="200">
          <cell r="A200" t="str">
            <v>BIO</v>
          </cell>
          <cell r="B200" t="str">
            <v>VAR_fout</v>
          </cell>
          <cell r="C200" t="str">
            <v>SUP_MNRBIO</v>
          </cell>
          <cell r="E200">
            <v>1.328003717919694</v>
          </cell>
          <cell r="F200">
            <v>3.3955159239728125</v>
          </cell>
          <cell r="G200">
            <v>3.5827785218468331</v>
          </cell>
          <cell r="H200">
            <v>5.981363976250222</v>
          </cell>
          <cell r="I200">
            <v>7.5460940022348773</v>
          </cell>
          <cell r="J200">
            <v>9.4405585978203703</v>
          </cell>
        </row>
        <row r="201">
          <cell r="A201" t="str">
            <v>BIO</v>
          </cell>
          <cell r="B201" t="str">
            <v>VAR_fout</v>
          </cell>
          <cell r="C201" t="str">
            <v>SUP_WSTHTGBIOCCS</v>
          </cell>
          <cell r="I201">
            <v>1.1132430310578568E-4</v>
          </cell>
          <cell r="J201">
            <v>4.8312082126858013E-4</v>
          </cell>
        </row>
        <row r="202">
          <cell r="A202" t="str">
            <v>BIO</v>
          </cell>
          <cell r="B202" t="str">
            <v>VAR_fout</v>
          </cell>
          <cell r="C202" t="str">
            <v>SUP_WODBIO</v>
          </cell>
          <cell r="F202">
            <v>2.9285992324073914E-4</v>
          </cell>
          <cell r="G202">
            <v>2.9018947039501341E-4</v>
          </cell>
          <cell r="H202">
            <v>3.3850034700743466E-4</v>
          </cell>
          <cell r="I202">
            <v>4.0737335630462116E-4</v>
          </cell>
          <cell r="J202">
            <v>2.1857196893500415E-4</v>
          </cell>
        </row>
        <row r="203">
          <cell r="A203" t="str">
            <v>BIO</v>
          </cell>
          <cell r="B203" t="str">
            <v>VAR_fout</v>
          </cell>
          <cell r="C203" t="str">
            <v>SUP_WODBIOCCS</v>
          </cell>
          <cell r="I203">
            <v>3.2585877246049715E-4</v>
          </cell>
          <cell r="J203">
            <v>5.1496717411085721E-4</v>
          </cell>
        </row>
        <row r="204">
          <cell r="A204" t="str">
            <v>BIO</v>
          </cell>
          <cell r="B204" t="str">
            <v>VAR_fin</v>
          </cell>
          <cell r="C204" t="str">
            <v>D-IBIO</v>
          </cell>
          <cell r="E204">
            <v>0.43672772752918304</v>
          </cell>
          <cell r="F204">
            <v>0.55206570967543545</v>
          </cell>
          <cell r="G204">
            <v>3.2870546243717591</v>
          </cell>
          <cell r="H204">
            <v>3.2870587088070895</v>
          </cell>
          <cell r="I204">
            <v>7.6944180880994013</v>
          </cell>
          <cell r="J204">
            <v>7.6944478255217961</v>
          </cell>
        </row>
        <row r="205">
          <cell r="A205" t="str">
            <v>BIO</v>
          </cell>
          <cell r="B205" t="str">
            <v>VAR_fin</v>
          </cell>
          <cell r="C205" t="str">
            <v>D-EBIO</v>
          </cell>
          <cell r="E205">
            <v>1.1839528190004767</v>
          </cell>
          <cell r="F205">
            <v>0.39669748329678217</v>
          </cell>
          <cell r="G205">
            <v>2.6576197814669796E-3</v>
          </cell>
          <cell r="H205">
            <v>3.024479041777262</v>
          </cell>
          <cell r="I205">
            <v>3.3902341944753243</v>
          </cell>
          <cell r="J205">
            <v>4.2851089736422765E-2</v>
          </cell>
        </row>
        <row r="206">
          <cell r="A206" t="str">
            <v>BIO</v>
          </cell>
          <cell r="B206" t="str">
            <v>VAR_fin</v>
          </cell>
          <cell r="C206" t="str">
            <v>D-CBIO</v>
          </cell>
          <cell r="E206">
            <v>1.2890715756969104</v>
          </cell>
          <cell r="F206">
            <v>3.7251311248316039</v>
          </cell>
          <cell r="G206">
            <v>3.5199513119439874</v>
          </cell>
          <cell r="H206">
            <v>3.5626602954344686</v>
          </cell>
          <cell r="I206">
            <v>3.0885505241124251</v>
          </cell>
          <cell r="J206">
            <v>10.811927630188482</v>
          </cell>
        </row>
        <row r="207">
          <cell r="A207" t="str">
            <v>BIO</v>
          </cell>
          <cell r="B207" t="str">
            <v>VAR_fin</v>
          </cell>
          <cell r="C207" t="str">
            <v>D-SBIO</v>
          </cell>
          <cell r="E207">
            <v>4.0476759174883918</v>
          </cell>
          <cell r="F207">
            <v>4.5837895620774036</v>
          </cell>
          <cell r="G207">
            <v>3.0436366034191216</v>
          </cell>
          <cell r="H207">
            <v>3.032271519686415</v>
          </cell>
          <cell r="I207">
            <v>2.9504522513756744</v>
          </cell>
          <cell r="J207">
            <v>2.8719166368287428</v>
          </cell>
        </row>
        <row r="208">
          <cell r="A208" t="str">
            <v>EBIO</v>
          </cell>
          <cell r="B208" t="str">
            <v>VAR_fout</v>
          </cell>
          <cell r="C208" t="str">
            <v>D-EBIO</v>
          </cell>
          <cell r="E208">
            <v>1.1839528190004767</v>
          </cell>
          <cell r="F208">
            <v>0.39669748329678217</v>
          </cell>
          <cell r="G208">
            <v>2.6576197814669796E-3</v>
          </cell>
          <cell r="H208">
            <v>3.024479041777262</v>
          </cell>
          <cell r="I208">
            <v>3.3902341944753243</v>
          </cell>
          <cell r="J208">
            <v>4.2851089736422765E-2</v>
          </cell>
        </row>
        <row r="209">
          <cell r="A209" t="str">
            <v>PLT</v>
          </cell>
          <cell r="B209" t="str">
            <v>VAR_fout</v>
          </cell>
          <cell r="C209" t="str">
            <v>CT_CWODPLT</v>
          </cell>
          <cell r="E209">
            <v>5.9796376820373327</v>
          </cell>
          <cell r="F209">
            <v>6.9696520310341237</v>
          </cell>
          <cell r="G209">
            <v>1.3648526384445938</v>
          </cell>
          <cell r="H209">
            <v>1.2882042110506591</v>
          </cell>
          <cell r="I209">
            <v>1.0977745632632274</v>
          </cell>
          <cell r="J209">
            <v>0.89115039008995733</v>
          </cell>
        </row>
        <row r="210">
          <cell r="A210" t="str">
            <v>SLFO</v>
          </cell>
          <cell r="B210" t="str">
            <v>VAR_fout</v>
          </cell>
          <cell r="C210" t="str">
            <v>D-SLFO</v>
          </cell>
          <cell r="E210">
            <v>30.256636734487458</v>
          </cell>
          <cell r="F210">
            <v>25.333442974615789</v>
          </cell>
          <cell r="G210">
            <v>24.45568841767529</v>
          </cell>
          <cell r="H210">
            <v>12.272694350011111</v>
          </cell>
          <cell r="I210">
            <v>2.3687169213460373</v>
          </cell>
          <cell r="J210">
            <v>7.9231004973455268E-2</v>
          </cell>
        </row>
        <row r="211">
          <cell r="A211" t="str">
            <v>ETH</v>
          </cell>
          <cell r="B211" t="str">
            <v>VAR_fout</v>
          </cell>
          <cell r="C211" t="str">
            <v>IMPETH</v>
          </cell>
          <cell r="E211">
            <v>4.434137253169868</v>
          </cell>
          <cell r="F211">
            <v>4.6311039337963038</v>
          </cell>
          <cell r="G211">
            <v>3.2014577266831106</v>
          </cell>
          <cell r="H211">
            <v>4.0390340501797946</v>
          </cell>
          <cell r="I211">
            <v>8.5305902791152572</v>
          </cell>
          <cell r="J211">
            <v>6.7834679273068179</v>
          </cell>
        </row>
        <row r="212">
          <cell r="A212" t="str">
            <v>ETH</v>
          </cell>
          <cell r="B212" t="str">
            <v>VAR_fout</v>
          </cell>
          <cell r="C212" t="str">
            <v>CT_CWODETHCCS</v>
          </cell>
          <cell r="I212">
            <v>6.5462626336350329E-5</v>
          </cell>
          <cell r="J212">
            <v>2.1500541055941238E-5</v>
          </cell>
        </row>
        <row r="213">
          <cell r="A213" t="str">
            <v>ETH</v>
          </cell>
          <cell r="B213" t="str">
            <v>VAR_fout</v>
          </cell>
          <cell r="C213" t="str">
            <v>CT_CWODETH</v>
          </cell>
          <cell r="E213">
            <v>0.19956315994551696</v>
          </cell>
          <cell r="F213">
            <v>3.0365922735182331E-4</v>
          </cell>
          <cell r="G213">
            <v>1.200526326826717</v>
          </cell>
          <cell r="H213">
            <v>1.6491348590723254</v>
          </cell>
          <cell r="I213">
            <v>1.1656758268856875E-4</v>
          </cell>
          <cell r="J213">
            <v>2.4234128363407284E-5</v>
          </cell>
        </row>
        <row r="214">
          <cell r="A214" t="str">
            <v>ETH</v>
          </cell>
          <cell r="B214" t="str">
            <v>VAR_fin</v>
          </cell>
          <cell r="C214" t="str">
            <v>D-TGSL</v>
          </cell>
          <cell r="E214">
            <v>4.6337004131153865</v>
          </cell>
          <cell r="F214">
            <v>4.63140759302365</v>
          </cell>
          <cell r="G214">
            <v>4.4019840634537717</v>
          </cell>
          <cell r="H214">
            <v>5.6881689092521217</v>
          </cell>
          <cell r="I214">
            <v>8.530772309324286</v>
          </cell>
          <cell r="J214">
            <v>6.7835136619762384</v>
          </cell>
        </row>
        <row r="215">
          <cell r="A215" t="str">
            <v>TGSL</v>
          </cell>
          <cell r="B215" t="str">
            <v>VAR_fout</v>
          </cell>
          <cell r="C215" t="str">
            <v>D-TGSL</v>
          </cell>
          <cell r="E215">
            <v>83.402797464279658</v>
          </cell>
          <cell r="F215">
            <v>83.36136470012211</v>
          </cell>
          <cell r="G215">
            <v>78.696507746445661</v>
          </cell>
          <cell r="H215">
            <v>53.753343041129291</v>
          </cell>
          <cell r="I215">
            <v>25.821201788035832</v>
          </cell>
          <cell r="J215">
            <v>8.2356662346951932</v>
          </cell>
        </row>
        <row r="216">
          <cell r="A216" t="str">
            <v>RLFO</v>
          </cell>
          <cell r="B216" t="str">
            <v>VAR_fout</v>
          </cell>
          <cell r="C216" t="str">
            <v>D-RLFO</v>
          </cell>
          <cell r="E216">
            <v>60.231834741747292</v>
          </cell>
          <cell r="F216">
            <v>51.320018480843956</v>
          </cell>
          <cell r="G216">
            <v>47.405635052121312</v>
          </cell>
          <cell r="H216">
            <v>20.892001288986766</v>
          </cell>
          <cell r="I216">
            <v>2.9725266576269971</v>
          </cell>
          <cell r="J216">
            <v>0.17176830243241648</v>
          </cell>
        </row>
        <row r="217">
          <cell r="A217" t="str">
            <v>CELC_E</v>
          </cell>
          <cell r="B217" t="str">
            <v>VAR_fout</v>
          </cell>
          <cell r="C217" t="str">
            <v>ESOL-PV_E</v>
          </cell>
          <cell r="H217">
            <v>4.6111072577981345</v>
          </cell>
          <cell r="I217">
            <v>4.6111090293690165</v>
          </cell>
          <cell r="J217">
            <v>4.6110991316882535</v>
          </cell>
        </row>
        <row r="218">
          <cell r="A218" t="str">
            <v>CELC_E</v>
          </cell>
          <cell r="B218" t="str">
            <v>VAR_fin</v>
          </cell>
          <cell r="C218" t="str">
            <v>SUP_ELCH2_D</v>
          </cell>
          <cell r="H218">
            <v>4.6111072577981345</v>
          </cell>
          <cell r="I218">
            <v>4.6111090293690165</v>
          </cell>
          <cell r="J218">
            <v>4.6110991316882526</v>
          </cell>
        </row>
        <row r="219">
          <cell r="A219" t="str">
            <v>CBIO</v>
          </cell>
          <cell r="B219" t="str">
            <v>VAR_fout</v>
          </cell>
          <cell r="C219" t="str">
            <v>D-CBIO</v>
          </cell>
          <cell r="E219">
            <v>1.2890715756969104</v>
          </cell>
          <cell r="F219">
            <v>3.7251311248316039</v>
          </cell>
          <cell r="G219">
            <v>3.5199513119439874</v>
          </cell>
          <cell r="H219">
            <v>3.5626602954344686</v>
          </cell>
          <cell r="I219">
            <v>3.0885505241124251</v>
          </cell>
          <cell r="J219">
            <v>10.811927630188482</v>
          </cell>
        </row>
        <row r="220">
          <cell r="A220" t="str">
            <v>CBIO</v>
          </cell>
          <cell r="B220" t="str">
            <v>VAR_fin</v>
          </cell>
          <cell r="C220" t="str">
            <v>SUP_BIONGA</v>
          </cell>
          <cell r="E220">
            <v>1.2890715756969104</v>
          </cell>
          <cell r="F220">
            <v>3.7251311248316039</v>
          </cell>
          <cell r="G220">
            <v>3.5199513119439874</v>
          </cell>
          <cell r="H220">
            <v>3.5626602954344686</v>
          </cell>
          <cell r="I220">
            <v>3.0885505241124251</v>
          </cell>
          <cell r="J220">
            <v>10.811927630188482</v>
          </cell>
        </row>
        <row r="221">
          <cell r="A221" t="str">
            <v>LTH</v>
          </cell>
          <cell r="B221" t="str">
            <v>VAR_fout</v>
          </cell>
          <cell r="C221" t="str">
            <v>SUP_WODBIO</v>
          </cell>
          <cell r="F221">
            <v>3.5143190788888749E-5</v>
          </cell>
          <cell r="G221">
            <v>3.4822736447401623E-5</v>
          </cell>
          <cell r="H221">
            <v>4.0620041640892205E-5</v>
          </cell>
          <cell r="I221">
            <v>4.888480275655453E-5</v>
          </cell>
          <cell r="J221">
            <v>2.6228636272200475E-5</v>
          </cell>
        </row>
        <row r="222">
          <cell r="A222" t="str">
            <v>LTH</v>
          </cell>
          <cell r="B222" t="str">
            <v>VAR_fout</v>
          </cell>
          <cell r="C222" t="str">
            <v>SUP_WODBIOCCS</v>
          </cell>
          <cell r="I222">
            <v>4.0178504896011719E-5</v>
          </cell>
          <cell r="J222">
            <v>6.2633581191233738E-5</v>
          </cell>
        </row>
        <row r="223">
          <cell r="A223" t="str">
            <v>LTH</v>
          </cell>
          <cell r="B223" t="str">
            <v>VAR_fout</v>
          </cell>
          <cell r="C223" t="str">
            <v>CT_CWODBDS</v>
          </cell>
          <cell r="E223">
            <v>0.15215801246180327</v>
          </cell>
          <cell r="F223">
            <v>0.10846149254750301</v>
          </cell>
          <cell r="G223">
            <v>1.8562245417351819E-4</v>
          </cell>
          <cell r="H223">
            <v>1.2588619365394511E-4</v>
          </cell>
          <cell r="I223">
            <v>9.6134618101258569E-5</v>
          </cell>
          <cell r="J223">
            <v>2.5325366975479866E-5</v>
          </cell>
        </row>
        <row r="224">
          <cell r="A224" t="str">
            <v>LTH</v>
          </cell>
          <cell r="B224" t="str">
            <v>VAR_fout</v>
          </cell>
          <cell r="C224" t="str">
            <v>CT_CWODBDSCCS</v>
          </cell>
          <cell r="I224">
            <v>4.8085669626601677E-5</v>
          </cell>
          <cell r="J224">
            <v>1.5811537213390883E-4</v>
          </cell>
        </row>
        <row r="225">
          <cell r="A225" t="str">
            <v>LTH</v>
          </cell>
          <cell r="B225" t="str">
            <v>VAR_fin</v>
          </cell>
          <cell r="C225" t="str">
            <v>D-CHEAT</v>
          </cell>
          <cell r="I225">
            <v>2.2731641245697583E-4</v>
          </cell>
          <cell r="J225">
            <v>4.1989460577995585E-4</v>
          </cell>
        </row>
        <row r="226">
          <cell r="A226" t="str">
            <v>LNGA</v>
          </cell>
          <cell r="B226" t="str">
            <v>VAR_fin</v>
          </cell>
          <cell r="C226" t="str">
            <v>D-LNGA</v>
          </cell>
          <cell r="H226">
            <v>1.8290854527454907E-3</v>
          </cell>
          <cell r="I226">
            <v>1.2009997052993921E-3</v>
          </cell>
          <cell r="J226">
            <v>3.4733397315042327E-4</v>
          </cell>
        </row>
        <row r="227">
          <cell r="A227" t="str">
            <v>WHEAT</v>
          </cell>
          <cell r="B227" t="str">
            <v>VAR_fin</v>
          </cell>
          <cell r="C227" t="str">
            <v>D-CHEAT</v>
          </cell>
          <cell r="I227">
            <v>2.0342007885441847E-3</v>
          </cell>
          <cell r="J227">
            <v>6.471386740668515E-4</v>
          </cell>
        </row>
        <row r="228">
          <cell r="A228" t="str">
            <v>SOL</v>
          </cell>
          <cell r="B228" t="str">
            <v>VAR_fin</v>
          </cell>
          <cell r="C228" t="str">
            <v>ESOL-PV_E</v>
          </cell>
          <cell r="H228">
            <v>4.6111072577981345</v>
          </cell>
          <cell r="I228">
            <v>4.6111090293690165</v>
          </cell>
          <cell r="J228">
            <v>4.6110991316882535</v>
          </cell>
        </row>
        <row r="229">
          <cell r="A229" t="str">
            <v>TKER</v>
          </cell>
          <cell r="B229" t="str">
            <v>VAR_fout</v>
          </cell>
          <cell r="C229" t="str">
            <v>D-TBDS1</v>
          </cell>
          <cell r="H229">
            <v>0.58705051378482198</v>
          </cell>
          <cell r="I229">
            <v>0.40085157416549599</v>
          </cell>
          <cell r="J229">
            <v>1.6907769135217099</v>
          </cell>
        </row>
        <row r="230">
          <cell r="A230" t="str">
            <v>CELC</v>
          </cell>
          <cell r="B230" t="str">
            <v>VAR_fout</v>
          </cell>
          <cell r="C230" t="str">
            <v>D-CELC</v>
          </cell>
          <cell r="E230">
            <v>0.36186675228452719</v>
          </cell>
          <cell r="F230">
            <v>4.5828010471489544E-2</v>
          </cell>
          <cell r="G230">
            <v>2.0886283188147718</v>
          </cell>
          <cell r="H230">
            <v>22.438398597005705</v>
          </cell>
          <cell r="I230">
            <v>18.316276874711516</v>
          </cell>
          <cell r="J230">
            <v>17.060066914594262</v>
          </cell>
        </row>
        <row r="231">
          <cell r="A231" t="str">
            <v>CELC</v>
          </cell>
          <cell r="B231" t="str">
            <v>VAR_fin</v>
          </cell>
          <cell r="C231" t="str">
            <v>SUP_H2NGA</v>
          </cell>
          <cell r="I231">
            <v>1.646885951032607E-5</v>
          </cell>
          <cell r="J231">
            <v>2.6822618767216178E-6</v>
          </cell>
        </row>
        <row r="232">
          <cell r="A232" t="str">
            <v>CELC</v>
          </cell>
          <cell r="B232" t="str">
            <v>VAR_fin</v>
          </cell>
          <cell r="C232" t="str">
            <v>SUP_ELCH2_SOEC</v>
          </cell>
          <cell r="I232">
            <v>1.497607274920415E-2</v>
          </cell>
          <cell r="J232">
            <v>8.6452726854985978E-3</v>
          </cell>
        </row>
        <row r="233">
          <cell r="A233" t="str">
            <v>CELC</v>
          </cell>
          <cell r="B233" t="str">
            <v>VAR_fin</v>
          </cell>
          <cell r="C233" t="str">
            <v>SUP_ELCH2</v>
          </cell>
          <cell r="E233">
            <v>7.4677034755552957E-3</v>
          </cell>
          <cell r="F233">
            <v>2.6001497590561709E-2</v>
          </cell>
          <cell r="G233">
            <v>0.11973204763764422</v>
          </cell>
          <cell r="H233">
            <v>19.733794984229352</v>
          </cell>
          <cell r="I233">
            <v>18.300918776249009</v>
          </cell>
          <cell r="J233">
            <v>17.051264072526692</v>
          </cell>
        </row>
        <row r="234">
          <cell r="A234" t="str">
            <v>CELC</v>
          </cell>
          <cell r="B234" t="str">
            <v>VAR_fin</v>
          </cell>
          <cell r="C234" t="str">
            <v>CT_CWODBDS</v>
          </cell>
          <cell r="E234">
            <v>2.7115338118193173E-2</v>
          </cell>
          <cell r="F234">
            <v>1.9328394184747352E-2</v>
          </cell>
          <cell r="G234">
            <v>3.3078873243742396E-5</v>
          </cell>
          <cell r="H234">
            <v>2.2433565279356917E-5</v>
          </cell>
          <cell r="I234">
            <v>1.7131681943685829E-5</v>
          </cell>
          <cell r="J234">
            <v>4.5131102687073187E-6</v>
          </cell>
        </row>
        <row r="235">
          <cell r="A235" t="str">
            <v>CELC</v>
          </cell>
          <cell r="B235" t="str">
            <v>VAR_fin</v>
          </cell>
          <cell r="C235" t="str">
            <v>CT_CWODETHCCS</v>
          </cell>
          <cell r="I235">
            <v>1.3747151530633565E-4</v>
          </cell>
          <cell r="J235">
            <v>4.5151136217476564E-5</v>
          </cell>
        </row>
        <row r="236">
          <cell r="A236" t="str">
            <v>CELC</v>
          </cell>
          <cell r="B236" t="str">
            <v>VAR_fin</v>
          </cell>
          <cell r="C236" t="str">
            <v>CT_CWODETH</v>
          </cell>
          <cell r="E236">
            <v>0.32728358231064797</v>
          </cell>
          <cell r="F236">
            <v>4.9800113285699014E-4</v>
          </cell>
          <cell r="G236">
            <v>1.9688631759958171</v>
          </cell>
          <cell r="H236">
            <v>2.7045811688786188</v>
          </cell>
          <cell r="I236">
            <v>1.9117083560925283E-4</v>
          </cell>
          <cell r="J236">
            <v>3.9743970515987984E-5</v>
          </cell>
        </row>
        <row r="237">
          <cell r="A237" t="str">
            <v>CELC</v>
          </cell>
          <cell r="B237" t="str">
            <v>VAR_fin</v>
          </cell>
          <cell r="C237" t="str">
            <v>SUP_DAC</v>
          </cell>
          <cell r="I237">
            <v>3.86875408407888E-6</v>
          </cell>
          <cell r="J237">
            <v>1.3150244338203571E-5</v>
          </cell>
        </row>
        <row r="238">
          <cell r="A238" t="str">
            <v>CELC</v>
          </cell>
          <cell r="B238" t="str">
            <v>VAR_fin</v>
          </cell>
          <cell r="C238" t="str">
            <v>CT_CWODBDSCCS</v>
          </cell>
          <cell r="I238">
            <v>1.5914066852613459E-5</v>
          </cell>
          <cell r="J238">
            <v>5.2328658872888971E-5</v>
          </cell>
        </row>
        <row r="239">
          <cell r="A239" t="str">
            <v>SBIO</v>
          </cell>
          <cell r="B239" t="str">
            <v>VAR_fout</v>
          </cell>
          <cell r="C239" t="str">
            <v>D-SBIO</v>
          </cell>
          <cell r="E239">
            <v>4.0476759174883918</v>
          </cell>
          <cell r="F239">
            <v>4.5837895620774036</v>
          </cell>
          <cell r="G239">
            <v>3.0436366034191216</v>
          </cell>
          <cell r="H239">
            <v>3.032271519686415</v>
          </cell>
          <cell r="I239">
            <v>2.9504522513756744</v>
          </cell>
          <cell r="J239">
            <v>2.8719166368287428</v>
          </cell>
        </row>
        <row r="240">
          <cell r="A240" t="str">
            <v>INGA</v>
          </cell>
          <cell r="B240" t="str">
            <v>VAR_fout</v>
          </cell>
          <cell r="C240" t="str">
            <v>D-INGA</v>
          </cell>
          <cell r="E240">
            <v>37.475450990451129</v>
          </cell>
          <cell r="F240">
            <v>31.842753452522725</v>
          </cell>
          <cell r="G240">
            <v>29.906805204875994</v>
          </cell>
          <cell r="H240">
            <v>11.440952229636789</v>
          </cell>
          <cell r="I240">
            <v>3.8055956275773171</v>
          </cell>
          <cell r="J240">
            <v>8.5945465128604184</v>
          </cell>
        </row>
        <row r="241">
          <cell r="A241" t="str">
            <v>DSL</v>
          </cell>
          <cell r="B241" t="str">
            <v>VAR_fout</v>
          </cell>
          <cell r="C241" t="str">
            <v>SUP_H2DSL</v>
          </cell>
          <cell r="I241">
            <v>1.0037890565696921</v>
          </cell>
          <cell r="J241">
            <v>0.12276211853525526</v>
          </cell>
        </row>
        <row r="242">
          <cell r="A242" t="str">
            <v>WSTREN</v>
          </cell>
          <cell r="B242" t="str">
            <v>VAR_fin</v>
          </cell>
          <cell r="C242" t="str">
            <v>D-CWST</v>
          </cell>
          <cell r="E242">
            <v>9.6793714232612977</v>
          </cell>
          <cell r="F242">
            <v>9.6344359486317597</v>
          </cell>
          <cell r="G242">
            <v>9.3330202041776289</v>
          </cell>
          <cell r="H242">
            <v>11.900420298585198</v>
          </cell>
          <cell r="I242">
            <v>11.898505825543172</v>
          </cell>
          <cell r="J242">
            <v>16.927240636603241</v>
          </cell>
        </row>
        <row r="243">
          <cell r="A243" t="str">
            <v>SOLPVC</v>
          </cell>
          <cell r="B243" t="str">
            <v>VAR_fin</v>
          </cell>
          <cell r="C243" t="str">
            <v>ESOL-PV_E</v>
          </cell>
          <cell r="H243">
            <v>4.6111072577981398</v>
          </cell>
          <cell r="I243">
            <v>4.61110902936902</v>
          </cell>
          <cell r="J243">
            <v>4.6110991316882499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1.7792928741170701E-2</v>
          </cell>
          <cell r="E4">
            <v>1.7896437988843401E-2</v>
          </cell>
          <cell r="F4">
            <v>1.7838028694553899E-2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4.4068039107827217E-3</v>
          </cell>
          <cell r="E5">
            <v>3.5497762688867962E-3</v>
          </cell>
          <cell r="F5">
            <v>2.21851598266127E-3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3.1547745994983434E-4</v>
          </cell>
          <cell r="E6">
            <v>3.1731273029864099E-4</v>
          </cell>
          <cell r="F6">
            <v>3.1627710451336612E-4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3.5183976095030856</v>
          </cell>
          <cell r="E8">
            <v>1.4562694007959303</v>
          </cell>
          <cell r="F8">
            <v>1.4727518198340885</v>
          </cell>
          <cell r="G8">
            <v>1.4124192731879321</v>
          </cell>
          <cell r="H8">
            <v>1.2996293393168719</v>
          </cell>
          <cell r="I8">
            <v>1.209593370704986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6.4393946104139965E-3</v>
          </cell>
          <cell r="E9">
            <v>2.6712869225718945E-3</v>
          </cell>
          <cell r="F9">
            <v>2.7130674155971465E-3</v>
          </cell>
          <cell r="G9">
            <v>2.7582270870437887E-3</v>
          </cell>
          <cell r="H9">
            <v>2.7286379097191263E-3</v>
          </cell>
          <cell r="I9">
            <v>2.7599988430665151E-3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6.2382936338707173E-2</v>
          </cell>
          <cell r="E10">
            <v>2.5820379446736336E-2</v>
          </cell>
          <cell r="F10">
            <v>2.611262091904416E-2</v>
          </cell>
          <cell r="G10">
            <v>2.5042894914679602E-2</v>
          </cell>
          <cell r="H10">
            <v>2.3043073392143131E-2</v>
          </cell>
          <cell r="I10">
            <v>2.1446690969946558E-2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8.7004550476978495E-7</v>
          </cell>
          <cell r="F11">
            <v>5.82086063335339E-6</v>
          </cell>
          <cell r="G11">
            <v>4.1235154106306398E-5</v>
          </cell>
          <cell r="H11">
            <v>2.38671687181148E-5</v>
          </cell>
          <cell r="I11">
            <v>4.79965432391888E-5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1.219602831711491E-4</v>
          </cell>
          <cell r="E12">
            <v>5.2168846424628784E-5</v>
          </cell>
          <cell r="F12">
            <v>5.2168836104839991E-5</v>
          </cell>
          <cell r="G12">
            <v>5.2163122079098636E-5</v>
          </cell>
          <cell r="H12">
            <v>5.2181083219076487E-5</v>
          </cell>
          <cell r="I12">
            <v>5.2184960130432401E-5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2.1278301062033013E-4</v>
          </cell>
          <cell r="E13">
            <v>9.2284230162260569E-4</v>
          </cell>
          <cell r="F13">
            <v>1.1597908251811137E-3</v>
          </cell>
          <cell r="G13">
            <v>1.2620942930898617E-3</v>
          </cell>
          <cell r="H13">
            <v>1.3198748946643172E-3</v>
          </cell>
          <cell r="I13">
            <v>8.9502407476762483E-4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2.1278301062033013E-4</v>
          </cell>
          <cell r="E14">
            <v>9.2284230162260569E-4</v>
          </cell>
          <cell r="F14">
            <v>1.1597908251811137E-3</v>
          </cell>
          <cell r="G14">
            <v>1.2620942930898617E-3</v>
          </cell>
          <cell r="H14">
            <v>1.3198748946643172E-3</v>
          </cell>
          <cell r="I14">
            <v>8.9502407476762483E-4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7.5912941338942194E-5</v>
          </cell>
          <cell r="F15">
            <v>6.9031016463867294E-5</v>
          </cell>
          <cell r="G15">
            <v>4.5017696629009299E-5</v>
          </cell>
          <cell r="H15">
            <v>9.9546475902107204E-5</v>
          </cell>
          <cell r="I15">
            <v>7.1162112230617995E-5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2.5985590118023843E-5</v>
          </cell>
          <cell r="E16">
            <v>1.0075193134891825E-4</v>
          </cell>
          <cell r="F16">
            <v>1.6422846330619843E-4</v>
          </cell>
          <cell r="G16">
            <v>1.778192836316748E-4</v>
          </cell>
          <cell r="H16">
            <v>1.9388178585176257E-4</v>
          </cell>
          <cell r="I16">
            <v>1.3315928141518994E-4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2.6763269013245403E-3</v>
          </cell>
          <cell r="E17">
            <v>5.2441770167154129E-3</v>
          </cell>
          <cell r="F17">
            <v>5.8415441458054213E-3</v>
          </cell>
          <cell r="G17">
            <v>5.8737697794726318E-2</v>
          </cell>
          <cell r="H17">
            <v>6.9368439800971717E-4</v>
          </cell>
          <cell r="I17">
            <v>2.1559382398619729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9.9592496876399796E-3</v>
          </cell>
          <cell r="E18">
            <v>1.9400078692472109E-2</v>
          </cell>
          <cell r="F18">
            <v>2.1504751441720971E-2</v>
          </cell>
          <cell r="G18">
            <v>0.20110262109951785</v>
          </cell>
          <cell r="H18">
            <v>2.2191944723110989E-3</v>
          </cell>
          <cell r="I18">
            <v>6.351952582835847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2.98389550553157E-6</v>
          </cell>
          <cell r="F19">
            <v>1.45578550314187E-5</v>
          </cell>
          <cell r="G19">
            <v>1.0714264001624901E-3</v>
          </cell>
          <cell r="H19">
            <v>9.1003638784062605E-6</v>
          </cell>
          <cell r="I19">
            <v>4.0556800265633297E-2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5.146504034146372E-5</v>
          </cell>
          <cell r="E20">
            <v>9.9137090170889862E-5</v>
          </cell>
          <cell r="F20">
            <v>1.118624527181416E-4</v>
          </cell>
          <cell r="G20">
            <v>1.1051567923435E-3</v>
          </cell>
          <cell r="H20">
            <v>1.4340253783043E-5</v>
          </cell>
          <cell r="I20">
            <v>4.0558397276080398E-2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5.1440851900855691E-2</v>
          </cell>
          <cell r="E21">
            <v>9.87755265918554E-2</v>
          </cell>
          <cell r="F21">
            <v>6.9316174843742626E-2</v>
          </cell>
          <cell r="G21">
            <v>7.8826365254966141E-2</v>
          </cell>
          <cell r="H21">
            <v>2.5687187961718112E-2</v>
          </cell>
          <cell r="I21">
            <v>1.3973295720363188E-2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5.1440851900855691E-2</v>
          </cell>
          <cell r="E22">
            <v>9.87755265918554E-2</v>
          </cell>
          <cell r="F22">
            <v>6.9316174843742626E-2</v>
          </cell>
          <cell r="G22">
            <v>7.8826365254966141E-2</v>
          </cell>
          <cell r="H22">
            <v>2.5687187961718112E-2</v>
          </cell>
          <cell r="I22">
            <v>1.3973295720363188E-2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2.6387311901899101E-5</v>
          </cell>
          <cell r="F23">
            <v>4.8475554045568402E-5</v>
          </cell>
          <cell r="G23">
            <v>7.9335767868740704E-5</v>
          </cell>
          <cell r="H23">
            <v>2.5700122642005E-3</v>
          </cell>
          <cell r="I23">
            <v>1.35732519222119E-4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4.8853179478902022E-3</v>
          </cell>
          <cell r="E24">
            <v>7.4947399358345438E-3</v>
          </cell>
          <cell r="F24">
            <v>7.2667095259195125E-3</v>
          </cell>
          <cell r="G24">
            <v>5.9823391761038838E-3</v>
          </cell>
          <cell r="H24">
            <v>2.670952624476316E-3</v>
          </cell>
          <cell r="I24">
            <v>1.4654889113928432E-3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10.908647844933537</v>
          </cell>
          <cell r="E25">
            <v>13.878001635791707</v>
          </cell>
          <cell r="F25">
            <v>17.219601101628879</v>
          </cell>
          <cell r="G25">
            <v>34.592263926643298</v>
          </cell>
          <cell r="H25">
            <v>49.055915705171842</v>
          </cell>
          <cell r="I25">
            <v>61.533812784718712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4.845633446637577E-3</v>
          </cell>
          <cell r="E26">
            <v>2.0939004277966706E-3</v>
          </cell>
          <cell r="F26">
            <v>2.1855097448032893E-3</v>
          </cell>
          <cell r="G26">
            <v>0.13362185583744668</v>
          </cell>
          <cell r="H26">
            <v>1.6310766314516751</v>
          </cell>
          <cell r="I26">
            <v>4.8190179239331865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3.0887225992462186</v>
          </cell>
          <cell r="E27">
            <v>0.13070032141548313</v>
          </cell>
          <cell r="F27">
            <v>0.76212959948837944</v>
          </cell>
          <cell r="G27">
            <v>9.7769735824226665</v>
          </cell>
          <cell r="H27">
            <v>17.423938582021705</v>
          </cell>
          <cell r="I27">
            <v>23.445084878811016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2.0650444768308325</v>
          </cell>
          <cell r="E28">
            <v>8.9968158861501363E-2</v>
          </cell>
          <cell r="F28">
            <v>0.42325156354448223</v>
          </cell>
          <cell r="G28">
            <v>3.880741731182904</v>
          </cell>
          <cell r="H28">
            <v>6.3250538680453792</v>
          </cell>
          <cell r="I28">
            <v>10.685643772131721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5.7500351354098447</v>
          </cell>
          <cell r="E29">
            <v>13.65525343115293</v>
          </cell>
          <cell r="F29">
            <v>16.032053175902394</v>
          </cell>
          <cell r="G29">
            <v>20.800936498155831</v>
          </cell>
          <cell r="H29">
            <v>23.675851072288584</v>
          </cell>
          <cell r="I29">
            <v>22.584074595689788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4.9315211357234254E-2</v>
          </cell>
          <cell r="E30">
            <v>0.15527902078271594</v>
          </cell>
          <cell r="F30">
            <v>0.82290047028449276</v>
          </cell>
          <cell r="G30">
            <v>1.7642688025518427</v>
          </cell>
          <cell r="H30">
            <v>4.9232811054799468</v>
          </cell>
          <cell r="I30">
            <v>8.1778159879036139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4.9315211357234254E-2</v>
          </cell>
          <cell r="E31">
            <v>0.15527902078271594</v>
          </cell>
          <cell r="F31">
            <v>0.82290047028449276</v>
          </cell>
          <cell r="G31">
            <v>1.7642688025518427</v>
          </cell>
          <cell r="H31">
            <v>4.9232811054799468</v>
          </cell>
          <cell r="I31">
            <v>8.1778159879036139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8.0536685119907803E-5</v>
          </cell>
          <cell r="F32">
            <v>4.7107796535149203E-2</v>
          </cell>
          <cell r="G32">
            <v>7.6424003221044895E-2</v>
          </cell>
          <cell r="H32">
            <v>0.27132547607811902</v>
          </cell>
          <cell r="I32">
            <v>0.48332542098018599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4.0682836171055557E-3</v>
          </cell>
          <cell r="E33">
            <v>1.068251806004826E-2</v>
          </cell>
          <cell r="F33">
            <v>5.6609605436518308E-2</v>
          </cell>
          <cell r="G33">
            <v>0.12131423126520884</v>
          </cell>
          <cell r="H33">
            <v>0.33854078381032093</v>
          </cell>
          <cell r="I33">
            <v>0.56289892727787727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1.2748809472488837E-5</v>
          </cell>
          <cell r="E34">
            <v>1.1895281596904065E-3</v>
          </cell>
          <cell r="F34">
            <v>1.1949484436862214E-3</v>
          </cell>
          <cell r="G34">
            <v>1.284747141761672E-3</v>
          </cell>
          <cell r="H34">
            <v>1.3248883735566756E-3</v>
          </cell>
          <cell r="I34">
            <v>8.9809139569279153E-4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1.2748809472488837E-5</v>
          </cell>
          <cell r="E35">
            <v>1.1895281596904065E-3</v>
          </cell>
          <cell r="F35">
            <v>1.1949484436862214E-3</v>
          </cell>
          <cell r="G35">
            <v>1.284747141761672E-3</v>
          </cell>
          <cell r="H35">
            <v>1.3248883735566756E-3</v>
          </cell>
          <cell r="I35">
            <v>8.9809139569279153E-4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1.2820536123510099E-4</v>
          </cell>
          <cell r="F36">
            <v>5.0782433327431598E-5</v>
          </cell>
          <cell r="G36">
            <v>4.5375958218329097E-5</v>
          </cell>
          <cell r="H36">
            <v>1.0090254465801899E-4</v>
          </cell>
          <cell r="I36">
            <v>7.0575820977896797E-5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1.2801854391248399E-4</v>
          </cell>
          <cell r="F37">
            <v>1.7081532175962106E-4</v>
          </cell>
          <cell r="G37">
            <v>1.8396775337394062E-4</v>
          </cell>
          <cell r="H37">
            <v>1.9480708590528434E-4</v>
          </cell>
          <cell r="I37">
            <v>1.3364029934168553E-4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8.8183625740057892E-2</v>
          </cell>
          <cell r="E38">
            <v>0.15895799897193927</v>
          </cell>
          <cell r="F38">
            <v>0.15571422491470097</v>
          </cell>
          <cell r="G38">
            <v>0.12748980244950411</v>
          </cell>
          <cell r="H38">
            <v>1.2741079585970923E-2</v>
          </cell>
          <cell r="I38">
            <v>5.9638790763662563E-3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8.8183625740057892E-2</v>
          </cell>
          <cell r="E39">
            <v>0.15895799897193927</v>
          </cell>
          <cell r="F39">
            <v>0.15571422491470097</v>
          </cell>
          <cell r="G39">
            <v>0.12748980244950411</v>
          </cell>
          <cell r="H39">
            <v>1.2741079585970923E-2</v>
          </cell>
          <cell r="I39">
            <v>5.9638790763662563E-3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6.7458510835938807E-5</v>
          </cell>
          <cell r="F40">
            <v>3.1231458464439697E-4</v>
          </cell>
          <cell r="G40">
            <v>1.99753334383942E-4</v>
          </cell>
          <cell r="H40">
            <v>7.7306140466940705E-4</v>
          </cell>
          <cell r="I40">
            <v>2.26724189820702E-4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7.2621049352116218E-3</v>
          </cell>
          <cell r="E41">
            <v>1.2524786503611522E-2</v>
          </cell>
          <cell r="F41">
            <v>1.2313109541260997E-2</v>
          </cell>
          <cell r="G41">
            <v>1.0051339618989628E-2</v>
          </cell>
          <cell r="H41">
            <v>1.044300413983026E-3</v>
          </cell>
          <cell r="I41">
            <v>6.4304073684744146E-4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3.7617749473251052E-6</v>
          </cell>
          <cell r="E42">
            <v>6.2037644836435276E-4</v>
          </cell>
          <cell r="F42">
            <v>1.0438781457968096E-3</v>
          </cell>
          <cell r="G42">
            <v>2.2098477708334461E-3</v>
          </cell>
          <cell r="H42">
            <v>0.16149805543027876</v>
          </cell>
          <cell r="I42">
            <v>8.5437999765774569E-2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3.7617749473251052E-6</v>
          </cell>
          <cell r="E43">
            <v>6.2037644836435276E-4</v>
          </cell>
          <cell r="F43">
            <v>1.0438781457968096E-3</v>
          </cell>
          <cell r="G43">
            <v>2.2098477708334461E-3</v>
          </cell>
          <cell r="H43">
            <v>0.16149805543027876</v>
          </cell>
          <cell r="I43">
            <v>8.5437999765774569E-2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4.7519881977032901E-5</v>
          </cell>
          <cell r="F44">
            <v>4.97993533536806E-5</v>
          </cell>
          <cell r="G44">
            <v>9.4638436723045203E-5</v>
          </cell>
          <cell r="H44">
            <v>1.7467005002213501E-2</v>
          </cell>
          <cell r="I44">
            <v>1.32559469063477E-4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4.7137556198195166E-5</v>
          </cell>
          <cell r="F45">
            <v>9.3558952786105168E-5</v>
          </cell>
          <cell r="G45">
            <v>1.6856561621446259E-4</v>
          </cell>
          <cell r="H45">
            <v>1.6994614579637298E-2</v>
          </cell>
          <cell r="I45">
            <v>9.0032612395748082E-3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0.22017045262536084</v>
          </cell>
          <cell r="H46">
            <v>0.24502563722589676</v>
          </cell>
          <cell r="I46">
            <v>0.26340107396293244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8.711809997176081</v>
          </cell>
          <cell r="H47">
            <v>9.7093219886090889</v>
          </cell>
          <cell r="I47">
            <v>10.452588275482805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4.4020351715519097E-5</v>
          </cell>
          <cell r="E48">
            <v>5.4053421873893898E-5</v>
          </cell>
          <cell r="F48">
            <v>8.1080883080955003E-5</v>
          </cell>
          <cell r="G48">
            <v>1.35134519648243E-4</v>
          </cell>
          <cell r="H48">
            <v>1.3344217328151799E-4</v>
          </cell>
          <cell r="I48">
            <v>1.28034282385436E-3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2.0938228495806992E-3</v>
          </cell>
          <cell r="E49">
            <v>2.1478762714545931E-3</v>
          </cell>
          <cell r="F49">
            <v>2.2289571545355481E-3</v>
          </cell>
          <cell r="G49">
            <v>2.3640916741837908E-3</v>
          </cell>
          <cell r="H49">
            <v>2.6309769564520488E-3</v>
          </cell>
          <cell r="I49">
            <v>2.8282843360474697E-3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6.0004432463403863E-5</v>
          </cell>
          <cell r="E50">
            <v>0.533735182111305</v>
          </cell>
          <cell r="F50">
            <v>0.71561404699605091</v>
          </cell>
          <cell r="G50">
            <v>3.1075613712519061</v>
          </cell>
          <cell r="H50">
            <v>8.4405306677929843</v>
          </cell>
          <cell r="I50">
            <v>6.6651184233512097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6.0004432463403863E-5</v>
          </cell>
          <cell r="E51">
            <v>0.533735182111305</v>
          </cell>
          <cell r="F51">
            <v>0.71561404699605091</v>
          </cell>
          <cell r="G51">
            <v>3.1075613712519061</v>
          </cell>
          <cell r="H51">
            <v>8.4405306677929843</v>
          </cell>
          <cell r="I51">
            <v>6.6651184233512097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3.71903130814542E-2</v>
          </cell>
          <cell r="F52">
            <v>1.4808969595302901E-2</v>
          </cell>
          <cell r="G52">
            <v>0.18251318784189999</v>
          </cell>
          <cell r="H52">
            <v>0.153019004477292</v>
          </cell>
          <cell r="I52">
            <v>0.32480908499009398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3.6699218225716576E-2</v>
          </cell>
          <cell r="F53">
            <v>4.9210544923606186E-2</v>
          </cell>
          <cell r="G53">
            <v>0.21367013110313088</v>
          </cell>
          <cell r="H53">
            <v>0.58038191172926412</v>
          </cell>
          <cell r="I53">
            <v>0.46080341138344466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2.9457611690857275E-3</v>
          </cell>
          <cell r="E54">
            <v>1.1969211964488365E-2</v>
          </cell>
          <cell r="F54">
            <v>1.4338770146751079E-2</v>
          </cell>
          <cell r="G54">
            <v>1.4271800253802411E-2</v>
          </cell>
          <cell r="H54">
            <v>1.3119907116843011E-2</v>
          </cell>
          <cell r="I54">
            <v>6.039154278577763E-3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2.9457611690857275E-3</v>
          </cell>
          <cell r="E55">
            <v>1.1969211964488365E-2</v>
          </cell>
          <cell r="F55">
            <v>1.4338770146751079E-2</v>
          </cell>
          <cell r="G55">
            <v>1.4271800253802411E-2</v>
          </cell>
          <cell r="H55">
            <v>1.3119907116843011E-2</v>
          </cell>
          <cell r="I55">
            <v>6.039154278577763E-3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2.7096057351813001E-4</v>
          </cell>
          <cell r="F56">
            <v>2.45564955818203E-4</v>
          </cell>
          <cell r="G56">
            <v>2.2479188463636599E-4</v>
          </cell>
          <cell r="H56">
            <v>7.8757591027297895E-4</v>
          </cell>
          <cell r="I56">
            <v>2.2369311497702E-4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2.5885223479784366E-4</v>
          </cell>
          <cell r="E57">
            <v>9.4735843469511034E-4</v>
          </cell>
          <cell r="F57">
            <v>1.1469777974175077E-3</v>
          </cell>
          <cell r="G57">
            <v>1.1324689488926125E-3</v>
          </cell>
          <cell r="H57">
            <v>1.0755370424618742E-3</v>
          </cell>
          <cell r="I57">
            <v>6.5168860132101727E-4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6.4191775120524253E-5</v>
          </cell>
          <cell r="H58">
            <v>3.8805485671967262E-4</v>
          </cell>
          <cell r="I58">
            <v>1.0020945801322474E-2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2.7385363762969498E-4</v>
          </cell>
          <cell r="H59">
            <v>1.4892037852119542E-3</v>
          </cell>
          <cell r="I59">
            <v>3.3095081016392587E-2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1.4026063105353099E-6</v>
          </cell>
          <cell r="H60">
            <v>5.1447106984573297E-6</v>
          </cell>
          <cell r="I60">
            <v>1.93342181776599E-4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1.4026063105353099E-6</v>
          </cell>
          <cell r="H61">
            <v>9.1402534339022421E-6</v>
          </cell>
          <cell r="I61">
            <v>1.96587403850739E-4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2.1348950070598118E-4</v>
          </cell>
          <cell r="E62">
            <v>8.2951305183336522E-4</v>
          </cell>
          <cell r="F62">
            <v>1.0154909391794289E-3</v>
          </cell>
          <cell r="G62">
            <v>1.0103218779103083E-3</v>
          </cell>
          <cell r="H62">
            <v>8.6636237090537734E-4</v>
          </cell>
          <cell r="I62">
            <v>4.3418570982567363E-4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2.2076163519432802E-2</v>
          </cell>
          <cell r="E63">
            <v>8.5776891665492794E-2</v>
          </cell>
          <cell r="F63">
            <v>0.1050081805039295</v>
          </cell>
          <cell r="G63">
            <v>0.1044736669028308</v>
          </cell>
          <cell r="H63">
            <v>8.4208644780849301E-2</v>
          </cell>
          <cell r="I63">
            <v>3.8099316952727127E-2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2.991350070383841E-4</v>
          </cell>
          <cell r="E64">
            <v>1.162288504952477E-3</v>
          </cell>
          <cell r="F64">
            <v>1.4228750745789904E-3</v>
          </cell>
          <cell r="G64">
            <v>1.4156323428567872E-3</v>
          </cell>
          <cell r="H64">
            <v>1.1410385471659792E-3</v>
          </cell>
          <cell r="I64">
            <v>5.16250907218526E-4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4.4833688140303186E-5</v>
          </cell>
          <cell r="H65">
            <v>1.9341769757415857E-4</v>
          </cell>
          <cell r="I65">
            <v>2.6057053814567522E-4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2.6512883855644233E-4</v>
          </cell>
          <cell r="H66">
            <v>1.0362919443274862E-3</v>
          </cell>
          <cell r="I66">
            <v>1.2332159022123076E-3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9.0623907925653895E-7</v>
          </cell>
          <cell r="H67">
            <v>1.80085206096604E-6</v>
          </cell>
          <cell r="I67">
            <v>3.8250439078827497E-6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9.0623907925653895E-7</v>
          </cell>
          <cell r="H68">
            <v>3.816024776982524E-6</v>
          </cell>
          <cell r="I68">
            <v>5.0573618876868298E-6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6.2780622500146102</v>
          </cell>
          <cell r="E69">
            <v>12.07316267380917</v>
          </cell>
          <cell r="F69">
            <v>8.2140661501196792</v>
          </cell>
          <cell r="G69">
            <v>7.60374345770777</v>
          </cell>
          <cell r="H69">
            <v>2.3565765082570818</v>
          </cell>
          <cell r="I69">
            <v>0.59953055366577745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4.9851569129113517E-2</v>
          </cell>
          <cell r="E70">
            <v>9.5868132502035866E-2</v>
          </cell>
          <cell r="F70">
            <v>6.522459800599302E-2</v>
          </cell>
          <cell r="G70">
            <v>6.037827079861801E-2</v>
          </cell>
          <cell r="H70">
            <v>2.0770944389786349E-2</v>
          </cell>
          <cell r="I70">
            <v>5.927230820572062E-3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8.5068594173639669E-2</v>
          </cell>
          <cell r="E71">
            <v>0.16359299016001599</v>
          </cell>
          <cell r="F71">
            <v>0.11130170935121524</v>
          </cell>
          <cell r="G71">
            <v>0.10303175416948193</v>
          </cell>
          <cell r="H71">
            <v>3.1931931006193563E-2</v>
          </cell>
          <cell r="I71">
            <v>8.1237202393736746E-3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5.6404821176839844E-4</v>
          </cell>
          <cell r="H72">
            <v>3.0996014334254315E-4</v>
          </cell>
          <cell r="I72">
            <v>3.9516073323481399E-4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4.9867936845173462E-3</v>
          </cell>
          <cell r="H73">
            <v>2.4708407209393661E-3</v>
          </cell>
          <cell r="I73">
            <v>2.7414504344344293E-3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1.06557353532797E-5</v>
          </cell>
          <cell r="H74">
            <v>2.9022624770525299E-6</v>
          </cell>
          <cell r="I74">
            <v>6.5245412644095198E-6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1.06557353532797E-5</v>
          </cell>
          <cell r="H75">
            <v>5.9058465997888803E-6</v>
          </cell>
          <cell r="I75">
            <v>7.5186278264288801E-6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1.1832834006590737E-4</v>
          </cell>
          <cell r="F76">
            <v>1.6305807693328594E-4</v>
          </cell>
          <cell r="G76">
            <v>8.3591388901347739E-4</v>
          </cell>
          <cell r="H76">
            <v>2.2081064167729972E-3</v>
          </cell>
          <cell r="I76">
            <v>2.0133347800690067E-3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1.1832834006590736E-4</v>
          </cell>
          <cell r="F77">
            <v>1.6305807693328591E-4</v>
          </cell>
          <cell r="G77">
            <v>8.3591388901347729E-4</v>
          </cell>
          <cell r="H77">
            <v>2.2081064167729972E-3</v>
          </cell>
          <cell r="I77">
            <v>2.0133347800690067E-3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1.2046569205220006E-4</v>
          </cell>
          <cell r="F78">
            <v>1.6833063815622077E-4</v>
          </cell>
          <cell r="G78">
            <v>8.4150462092973826E-4</v>
          </cell>
          <cell r="H78">
            <v>2.2113212259418039E-3</v>
          </cell>
          <cell r="I78">
            <v>2.0159204096254018E-3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1.2046569205220006E-4</v>
          </cell>
          <cell r="F79">
            <v>1.6833063815622077E-4</v>
          </cell>
          <cell r="G79">
            <v>8.4150462092973826E-4</v>
          </cell>
          <cell r="H79">
            <v>2.2113212259418039E-3</v>
          </cell>
          <cell r="I79">
            <v>2.0159204096254018E-3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9.0567132658918807E-3</v>
          </cell>
          <cell r="F80">
            <v>5.4952278509395802E-3</v>
          </cell>
          <cell r="G80">
            <v>4.1012857879687004E-3</v>
          </cell>
          <cell r="H80">
            <v>8.66623718696884E-3</v>
          </cell>
          <cell r="I80">
            <v>5.85403881303113E-3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9.0567132658918807E-3</v>
          </cell>
          <cell r="F81">
            <v>1.454835763551875E-2</v>
          </cell>
          <cell r="G81">
            <v>1.8642405041572645E-2</v>
          </cell>
          <cell r="H81">
            <v>2.0310273994002682E-2</v>
          </cell>
          <cell r="I81">
            <v>1.546763446360405E-2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6.6713561034914903</v>
          </cell>
          <cell r="E82">
            <v>17.674045904629118</v>
          </cell>
          <cell r="F82">
            <v>89.963947485091609</v>
          </cell>
          <cell r="G82">
            <v>168.30328906029951</v>
          </cell>
          <cell r="H82">
            <v>309.75201045769677</v>
          </cell>
          <cell r="I82">
            <v>298.24905676927398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4.9315291518876939E-2</v>
          </cell>
          <cell r="E83">
            <v>0.13064820893740642</v>
          </cell>
          <cell r="F83">
            <v>0.66502195769377515</v>
          </cell>
          <cell r="G83">
            <v>1.2441137356242564</v>
          </cell>
          <cell r="H83">
            <v>2.5626240272143739</v>
          </cell>
          <cell r="I83">
            <v>2.7668147152991125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9.0397779180101515E-2</v>
          </cell>
          <cell r="E84">
            <v>0.23948571686489326</v>
          </cell>
          <cell r="F84">
            <v>1.2190236786597786</v>
          </cell>
          <cell r="G84">
            <v>2.2805323720907786</v>
          </cell>
          <cell r="H84">
            <v>4.1971817135189236</v>
          </cell>
          <cell r="I84">
            <v>4.041315132374991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8.9588652657388071E-7</v>
          </cell>
          <cell r="H85">
            <v>3.6854127130918448E-6</v>
          </cell>
          <cell r="I85">
            <v>5.2232731719497232E-7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1.1804032515227968E-5</v>
          </cell>
          <cell r="H86">
            <v>4.3873608231896982E-5</v>
          </cell>
          <cell r="I86">
            <v>5.3053072660959872E-6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2.4729934603574502E-8</v>
          </cell>
          <cell r="H87">
            <v>2.4994689034105401E-8</v>
          </cell>
          <cell r="I87">
            <v>1.59821486524938E-8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2.4729934603574502E-8</v>
          </cell>
          <cell r="H88">
            <v>5.1626077624589797E-8</v>
          </cell>
          <cell r="I88">
            <v>2.0368432546417701E-8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1.056508006209825E-3</v>
          </cell>
          <cell r="E89">
            <v>1.9816984146987537E-3</v>
          </cell>
          <cell r="F89">
            <v>2.8217435011339519E-3</v>
          </cell>
          <cell r="G89">
            <v>1.3217313681786167E-2</v>
          </cell>
          <cell r="H89">
            <v>1.5666302518446786E-2</v>
          </cell>
          <cell r="I89">
            <v>3.2187376869651327E-2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1.056508006209825E-3</v>
          </cell>
          <cell r="E90">
            <v>1.9816984146987537E-3</v>
          </cell>
          <cell r="F90">
            <v>2.8217435011339519E-3</v>
          </cell>
          <cell r="G90">
            <v>1.3217313681786167E-2</v>
          </cell>
          <cell r="H90">
            <v>1.5666302518446782E-2</v>
          </cell>
          <cell r="I90">
            <v>3.2187376869651327E-2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1.0575757343185017E-3</v>
          </cell>
          <cell r="E91">
            <v>1.9868039498547015E-3</v>
          </cell>
          <cell r="F91">
            <v>2.8285143049710674E-3</v>
          </cell>
          <cell r="G91">
            <v>1.3226650876316935E-2</v>
          </cell>
          <cell r="H91">
            <v>1.5672428758091245E-2</v>
          </cell>
          <cell r="I91">
            <v>3.2195354567297912E-2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1.0575757343185017E-3</v>
          </cell>
          <cell r="E92">
            <v>1.9868039498547015E-3</v>
          </cell>
          <cell r="F92">
            <v>2.8285143049710674E-3</v>
          </cell>
          <cell r="G92">
            <v>1.3226650876316935E-2</v>
          </cell>
          <cell r="H92">
            <v>1.5672428758091245E-2</v>
          </cell>
          <cell r="I92">
            <v>3.2195354567297912E-2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2.6952427291017201E-2</v>
          </cell>
          <cell r="E93">
            <v>2.5122296281394899E-2</v>
          </cell>
          <cell r="F93">
            <v>2.9183475560592399E-2</v>
          </cell>
          <cell r="G93">
            <v>2.7276681690970001E-2</v>
          </cell>
          <cell r="H93">
            <v>4.0559996918215199E-2</v>
          </cell>
          <cell r="I93">
            <v>0.25395209526136098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2.6952427291017201E-2</v>
          </cell>
          <cell r="E94">
            <v>5.2068087630082367E-2</v>
          </cell>
          <cell r="F94">
            <v>8.1233947810678997E-2</v>
          </cell>
          <cell r="G94">
            <v>0.10847619232051978</v>
          </cell>
          <cell r="H94">
            <v>9.9787684530835169E-2</v>
          </cell>
          <cell r="I94">
            <v>0.29836619947622245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12.5211744108458</v>
          </cell>
          <cell r="E95">
            <v>22.321360074087099</v>
          </cell>
          <cell r="F95">
            <v>21.455605705796799</v>
          </cell>
          <cell r="G95">
            <v>13.107614792096815</v>
          </cell>
          <cell r="H95">
            <v>0.91094696980292533</v>
          </cell>
          <cell r="I95">
            <v>0.25738719271745841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8.8183625740057864E-2</v>
          </cell>
          <cell r="E96">
            <v>0.1572039808883561</v>
          </cell>
          <cell r="F96">
            <v>0.15110668069181812</v>
          </cell>
          <cell r="G96">
            <v>9.2313784573585966E-2</v>
          </cell>
          <cell r="H96">
            <v>7.019301225728935E-3</v>
          </cell>
          <cell r="I96">
            <v>2.2104621051210098E-3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0.16966360990305904</v>
          </cell>
          <cell r="E97">
            <v>0.30245745357841652</v>
          </cell>
          <cell r="F97">
            <v>0.29072636457719214</v>
          </cell>
          <cell r="G97">
            <v>0.17760995653247735</v>
          </cell>
          <cell r="H97">
            <v>1.2343454875378404E-2</v>
          </cell>
          <cell r="I97">
            <v>3.4876313376349323E-3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7.7990636215623146E-2</v>
          </cell>
          <cell r="F98">
            <v>0.21065554908470824</v>
          </cell>
          <cell r="G98">
            <v>1.3382687064444865</v>
          </cell>
          <cell r="H98">
            <v>4.0026509598870286</v>
          </cell>
          <cell r="I98">
            <v>6.1390656719448762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7.7990636215623119E-2</v>
          </cell>
          <cell r="F99">
            <v>0.21065554908470821</v>
          </cell>
          <cell r="G99">
            <v>1.3382687064444863</v>
          </cell>
          <cell r="H99">
            <v>4.0026509598870268</v>
          </cell>
          <cell r="I99">
            <v>6.1390656719448753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7.8000256690622854E-2</v>
          </cell>
          <cell r="F100">
            <v>0.21068081029617067</v>
          </cell>
          <cell r="G100">
            <v>1.3384091592235705</v>
          </cell>
          <cell r="H100">
            <v>4.0030546425824101</v>
          </cell>
          <cell r="I100">
            <v>6.1396834269283405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7.8000256690622854E-2</v>
          </cell>
          <cell r="F101">
            <v>0.21068081029617067</v>
          </cell>
          <cell r="G101">
            <v>1.3384091592235705</v>
          </cell>
          <cell r="H101">
            <v>4.0030546425824101</v>
          </cell>
          <cell r="I101">
            <v>6.1396834269283405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3.3110336530148499</v>
          </cell>
          <cell r="F102">
            <v>5.42715506267451</v>
          </cell>
          <cell r="G102">
            <v>22.183552272497302</v>
          </cell>
          <cell r="H102">
            <v>34.732639433667998</v>
          </cell>
          <cell r="I102">
            <v>63.171654455971399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3.3110336530148499</v>
          </cell>
          <cell r="F103">
            <v>8.736608832492589</v>
          </cell>
          <cell r="G103">
            <v>30.915038666194395</v>
          </cell>
          <cell r="H103">
            <v>84.593819196559338</v>
          </cell>
          <cell r="I103">
            <v>101.95843843215029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31.520075074831901</v>
          </cell>
          <cell r="F104">
            <v>140.4684442025497</v>
          </cell>
          <cell r="G104">
            <v>220.7468343334443</v>
          </cell>
          <cell r="H104">
            <v>175.94148274867669</v>
          </cell>
          <cell r="I104">
            <v>207.07865689292481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0.19813682281401751</v>
          </cell>
          <cell r="F105">
            <v>0.88299190829480556</v>
          </cell>
          <cell r="G105">
            <v>1.3876260223759687</v>
          </cell>
          <cell r="H105">
            <v>1.1059772640213448</v>
          </cell>
          <cell r="I105">
            <v>1.3017071517738774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0.43001466677806077</v>
          </cell>
          <cell r="F106">
            <v>1.9163498526950848</v>
          </cell>
          <cell r="G106">
            <v>3.0115529922707278</v>
          </cell>
          <cell r="H106">
            <v>2.4002930797909445</v>
          </cell>
          <cell r="I106">
            <v>2.8250839958107088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1.38118631535597E-2</v>
          </cell>
          <cell r="F107">
            <v>4.7771380500696403E-2</v>
          </cell>
          <cell r="G107">
            <v>6.3775571976671705E-2</v>
          </cell>
          <cell r="I107">
            <v>0.116594553237794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1.38118631535597E-2</v>
          </cell>
          <cell r="F108">
            <v>6.1583243654255999E-2</v>
          </cell>
          <cell r="G108">
            <v>0.12352880690389099</v>
          </cell>
          <cell r="H108">
            <v>8.1771718795054404E-2</v>
          </cell>
          <cell r="I108">
            <v>0.12896222867185017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7.3329743284170253E-4</v>
          </cell>
          <cell r="E109">
            <v>2.3287088433046931E-3</v>
          </cell>
          <cell r="F109">
            <v>2.296266227624087E-3</v>
          </cell>
          <cell r="G109">
            <v>6.103658638996998E-4</v>
          </cell>
          <cell r="H109">
            <v>4.9822158886053272E-3</v>
          </cell>
          <cell r="I109">
            <v>7.4317445167357332E-2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4.2032716137726956E-3</v>
          </cell>
          <cell r="E110">
            <v>1.32855662102554E-2</v>
          </cell>
          <cell r="F110">
            <v>1.3097310366307202E-2</v>
          </cell>
          <cell r="G110">
            <v>3.4607637951579603E-3</v>
          </cell>
          <cell r="H110">
            <v>2.4566682585666237E-2</v>
          </cell>
          <cell r="I110">
            <v>0.33989044291528037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3.1141693550519302E-7</v>
          </cell>
          <cell r="F111">
            <v>3.8107306080075598E-7</v>
          </cell>
          <cell r="G111">
            <v>9.0551246303639102E-7</v>
          </cell>
          <cell r="H111">
            <v>1.2459581794483499E-4</v>
          </cell>
          <cell r="I111">
            <v>1.3832727743535E-3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1.397347858735298E-5</v>
          </cell>
          <cell r="E112">
            <v>4.4087170515928031E-5</v>
          </cell>
          <cell r="F112">
            <v>4.4466054996606842E-5</v>
          </cell>
          <cell r="G112">
            <v>1.1911928976453173E-5</v>
          </cell>
          <cell r="H112">
            <v>1.3257121028653301E-4</v>
          </cell>
          <cell r="I112">
            <v>1.40513792453624E-3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1.5481593670990121E-3</v>
          </cell>
          <cell r="F113">
            <v>4.2072939904302395E-3</v>
          </cell>
          <cell r="G113">
            <v>2.9371557594117845E-2</v>
          </cell>
          <cell r="H113">
            <v>1.4505491642316985E-2</v>
          </cell>
          <cell r="I113">
            <v>1.3164864430472507E-2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1.5481593670990121E-3</v>
          </cell>
          <cell r="F114">
            <v>4.2072939904302395E-3</v>
          </cell>
          <cell r="G114">
            <v>2.9371557594117841E-2</v>
          </cell>
          <cell r="H114">
            <v>1.4505491642316983E-2</v>
          </cell>
          <cell r="I114">
            <v>1.3164864430472503E-2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1.5500884937951899E-3</v>
          </cell>
          <cell r="F115">
            <v>4.2119083116935749E-3</v>
          </cell>
          <cell r="G115">
            <v>2.9380740756071201E-2</v>
          </cell>
          <cell r="H115">
            <v>1.4510350037208497E-2</v>
          </cell>
          <cell r="I115">
            <v>1.3168738816534331E-2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1.5500884937951899E-3</v>
          </cell>
          <cell r="F116">
            <v>4.2119083116935749E-3</v>
          </cell>
          <cell r="G116">
            <v>2.9380740756071201E-2</v>
          </cell>
          <cell r="H116">
            <v>1.4510350037208497E-2</v>
          </cell>
          <cell r="I116">
            <v>1.3168738816534331E-2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3.0093599708551001E-2</v>
          </cell>
          <cell r="F117">
            <v>4.91867939474274E-2</v>
          </cell>
          <cell r="G117">
            <v>3.6614818501556498E-2</v>
          </cell>
          <cell r="H117">
            <v>0.12877112962993201</v>
          </cell>
          <cell r="I117">
            <v>3.5553357157353999E-2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3.0093599708551001E-2</v>
          </cell>
          <cell r="F118">
            <v>7.9274730870130414E-2</v>
          </cell>
          <cell r="G118">
            <v>0.11587507131076265</v>
          </cell>
          <cell r="H118">
            <v>0.20335738142790447</v>
          </cell>
          <cell r="I118">
            <v>0.14623148775845585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61.563226699518701</v>
          </cell>
          <cell r="E119">
            <v>129.424932900963</v>
          </cell>
          <cell r="F119">
            <v>40.090936432563801</v>
          </cell>
          <cell r="G119">
            <v>19.9905984190049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0.23155719411302159</v>
          </cell>
          <cell r="E120">
            <v>0.49134183634278566</v>
          </cell>
          <cell r="F120">
            <v>0.15430717161225485</v>
          </cell>
          <cell r="G120">
            <v>7.69423958470455E-2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0.83419006367911486</v>
          </cell>
          <cell r="E121">
            <v>1.753725378061834</v>
          </cell>
          <cell r="F121">
            <v>0.54323762103744888</v>
          </cell>
          <cell r="G121">
            <v>0.27087531733068948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3.0634644695868341E-2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2.5094619874047878E-2</v>
          </cell>
          <cell r="E123">
            <v>2.6565055766818634E-2</v>
          </cell>
          <cell r="F123">
            <v>2.9168086869964253E-2</v>
          </cell>
          <cell r="G123">
            <v>3.16440139538713E-2</v>
          </cell>
          <cell r="H123">
            <v>3.3880016218283883E-2</v>
          </cell>
          <cell r="I123">
            <v>3.642340623771901E-2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1.5023091158134352</v>
          </cell>
          <cell r="E124">
            <v>1.5903379146960701</v>
          </cell>
          <cell r="F124">
            <v>1.7461704148347064</v>
          </cell>
          <cell r="G124">
            <v>1.8943937330962279</v>
          </cell>
          <cell r="H124">
            <v>2.0282537637189866</v>
          </cell>
          <cell r="I124">
            <v>2.1805158035683241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1.7538105755422901E-7</v>
          </cell>
          <cell r="E125">
            <v>1.35634382695491E-4</v>
          </cell>
          <cell r="F125">
            <v>2.40302773338145E-4</v>
          </cell>
          <cell r="G125">
            <v>2.2853785942594099E-4</v>
          </cell>
          <cell r="H125">
            <v>7.2193238710607099E-5</v>
          </cell>
          <cell r="I125">
            <v>1.4957527839670099E-3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2.3168398687407341E-3</v>
          </cell>
          <cell r="E126">
            <v>2.4524742514362248E-3</v>
          </cell>
          <cell r="F126">
            <v>2.69277702477437E-3</v>
          </cell>
          <cell r="G126">
            <v>2.9213148842003106E-3</v>
          </cell>
          <cell r="H126">
            <v>3.1277535122023617E-3</v>
          </cell>
          <cell r="I126">
            <v>3.3625348356788303E-3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794.10994830742595</v>
          </cell>
          <cell r="E127">
            <v>545.34209176768695</v>
          </cell>
          <cell r="F127">
            <v>399.65497949061</v>
          </cell>
          <cell r="G127">
            <v>199.76585600611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2.8063242814405465</v>
          </cell>
          <cell r="E128">
            <v>1.9934185049556881</v>
          </cell>
          <cell r="F128">
            <v>1.533675725090041</v>
          </cell>
          <cell r="G128">
            <v>0.76660134311075656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10.833696429842096</v>
          </cell>
          <cell r="E129">
            <v>7.4398648262985976</v>
          </cell>
          <cell r="F129">
            <v>5.4523189562156817</v>
          </cell>
          <cell r="G129">
            <v>2.7253186358268766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0.15266181484099117</v>
          </cell>
          <cell r="G130">
            <v>7.6330973659285387E-2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0.20082241712695417</v>
          </cell>
          <cell r="E131">
            <v>0.22193537096076366</v>
          </cell>
          <cell r="F131">
            <v>0.16837953737384631</v>
          </cell>
          <cell r="G131">
            <v>1.0239696538259591E-2</v>
          </cell>
          <cell r="H131">
            <v>3.6260826887561585E-3</v>
          </cell>
          <cell r="I131">
            <v>9.4617137413686102E-4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2.1911164648613151E-3</v>
          </cell>
          <cell r="E132">
            <v>2.4180092592457811E-3</v>
          </cell>
          <cell r="F132">
            <v>1.8332258953273307E-3</v>
          </cell>
          <cell r="G132">
            <v>1.1233693059669258E-4</v>
          </cell>
          <cell r="H132">
            <v>3.891856620679723E-5</v>
          </cell>
          <cell r="I132">
            <v>1.0256179199985656E-5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3.5606811547332405E-3</v>
          </cell>
          <cell r="E133">
            <v>3.9350243078149529E-3</v>
          </cell>
          <cell r="F133">
            <v>2.9854527903164243E-3</v>
          </cell>
          <cell r="G133">
            <v>1.8155490316063122E-4</v>
          </cell>
          <cell r="H133">
            <v>6.4292246254541756E-5</v>
          </cell>
          <cell r="I133">
            <v>1.6776088193915997E-5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4.6102735503655402E-6</v>
          </cell>
          <cell r="F134">
            <v>3.8110722385603802E-6</v>
          </cell>
          <cell r="G134">
            <v>1.20701699498944E-6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2.5600416519121932E-4</v>
          </cell>
          <cell r="E135">
            <v>2.6224924556901032E-4</v>
          </cell>
          <cell r="F135">
            <v>2.6496813364357817E-4</v>
          </cell>
          <cell r="G135">
            <v>1.4922400383109863E-5</v>
          </cell>
          <cell r="H135">
            <v>5.2478528548191084E-6</v>
          </cell>
          <cell r="I135">
            <v>1.3595999633166199E-6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0.73748904416535821</v>
          </cell>
          <cell r="E136">
            <v>1.7479845211699145</v>
          </cell>
          <cell r="F136">
            <v>3.2000379690281791</v>
          </cell>
          <cell r="G136">
            <v>13.050673653309147</v>
          </cell>
          <cell r="H136">
            <v>29.821330160315537</v>
          </cell>
          <cell r="I136">
            <v>34.268134360020994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0.73748904416535821</v>
          </cell>
          <cell r="E137">
            <v>1.7479845211699145</v>
          </cell>
          <cell r="F137">
            <v>3.2000379690281791</v>
          </cell>
          <cell r="G137">
            <v>13.050673653309147</v>
          </cell>
          <cell r="H137">
            <v>29.821330160315537</v>
          </cell>
          <cell r="I137">
            <v>34.268134360020994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6.1068675256219604E-7</v>
          </cell>
          <cell r="E138">
            <v>5.3208720473211505E-7</v>
          </cell>
          <cell r="F138">
            <v>0.34353973951262201</v>
          </cell>
          <cell r="G138">
            <v>4.90117271110456</v>
          </cell>
          <cell r="H138">
            <v>9.7184566273714292</v>
          </cell>
          <cell r="I138">
            <v>20.3685790617177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1.2762585677448024</v>
          </cell>
          <cell r="E139">
            <v>1.2762590998320071</v>
          </cell>
          <cell r="F139">
            <v>1.6197988393446288</v>
          </cell>
          <cell r="G139">
            <v>6.5209715504491896</v>
          </cell>
          <cell r="H139">
            <v>23.723632144398401</v>
          </cell>
          <cell r="I139">
            <v>31.9040179956706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2.6903723928875021</v>
          </cell>
          <cell r="E140">
            <v>2.6990777039390621</v>
          </cell>
          <cell r="F140">
            <v>1.9609263403725228</v>
          </cell>
          <cell r="G140">
            <v>9.9243886233972584E-3</v>
          </cell>
          <cell r="H140">
            <v>8.6023004627921573E-3</v>
          </cell>
          <cell r="I140">
            <v>2.2264628143585301E-3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3.1500514178008678E-2</v>
          </cell>
          <cell r="E141">
            <v>3.1576975121382328E-2</v>
          </cell>
          <cell r="F141">
            <v>2.2885398823920974E-2</v>
          </cell>
          <cell r="G141">
            <v>9.2892245909994507E-5</v>
          </cell>
          <cell r="H141">
            <v>7.4002263367883424E-5</v>
          </cell>
          <cell r="I141">
            <v>1.9316869483567128E-5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4.7701638171764212E-2</v>
          </cell>
          <cell r="E142">
            <v>4.785598765849404E-2</v>
          </cell>
          <cell r="F142">
            <v>3.4768197524335569E-2</v>
          </cell>
          <cell r="G142">
            <v>1.759643372942773E-4</v>
          </cell>
          <cell r="H142">
            <v>1.5252305785092479E-4</v>
          </cell>
          <cell r="I142">
            <v>3.9476291034725676E-5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2.7255061336232902E-6</v>
          </cell>
          <cell r="F143">
            <v>2.5412440084353702E-6</v>
          </cell>
          <cell r="G143">
            <v>1.2763798228821201E-6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2.4120204747944077E-3</v>
          </cell>
          <cell r="E144">
            <v>2.3972309872233506E-3</v>
          </cell>
          <cell r="F144">
            <v>2.3663841529149542E-3</v>
          </cell>
          <cell r="G144">
            <v>7.0936505967319867E-6</v>
          </cell>
          <cell r="H144">
            <v>6.3307402443910506E-6</v>
          </cell>
          <cell r="I144">
            <v>1.67728021461714E-6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325.7759058504177</v>
          </cell>
          <cell r="E145">
            <v>384.72093803002861</v>
          </cell>
          <cell r="F145">
            <v>368.77949628513636</v>
          </cell>
          <cell r="G145">
            <v>153.12301440425182</v>
          </cell>
          <cell r="H145">
            <v>0.32360935303871446</v>
          </cell>
          <cell r="I145">
            <v>7.6859474534067301E-2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1.5205002117016677</v>
          </cell>
          <cell r="E146">
            <v>1.7956155050622857</v>
          </cell>
          <cell r="F146">
            <v>1.7212117044354012</v>
          </cell>
          <cell r="G146">
            <v>0.71467401866412172</v>
          </cell>
          <cell r="H146">
            <v>1.5103882176907611E-3</v>
          </cell>
          <cell r="I146">
            <v>3.5872771804673485E-4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4.4444189065541249</v>
          </cell>
          <cell r="E147">
            <v>5.2485803278312178</v>
          </cell>
          <cell r="F147">
            <v>5.0310981757863154</v>
          </cell>
          <cell r="G147">
            <v>2.0889906467155765</v>
          </cell>
          <cell r="H147">
            <v>4.4148615694231206E-3</v>
          </cell>
          <cell r="I147">
            <v>1.0485603619927323E-3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1.7101993718258898E-5</v>
          </cell>
          <cell r="F148">
            <v>1.91064620194681E-4</v>
          </cell>
          <cell r="G148">
            <v>8.2240283726580803E-5</v>
          </cell>
          <cell r="I148">
            <v>1.1887760505550201E-5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0.10616876776494578</v>
          </cell>
          <cell r="E149">
            <v>0.12517279866767553</v>
          </cell>
          <cell r="F149">
            <v>0.12536393932555745</v>
          </cell>
          <cell r="G149">
            <v>7.1130916076920125E-2</v>
          </cell>
          <cell r="H149">
            <v>1.3711721025180256E-4</v>
          </cell>
          <cell r="I149">
            <v>3.3388834790530131E-5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0.24101375848920298</v>
          </cell>
          <cell r="E150">
            <v>0.27554031019214825</v>
          </cell>
          <cell r="F150">
            <v>0.27367126287874199</v>
          </cell>
          <cell r="G150">
            <v>3.1366182026846982E-2</v>
          </cell>
          <cell r="H150">
            <v>1.2538096130074821E-2</v>
          </cell>
          <cell r="I150">
            <v>3.2788160990822198E-3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1.9998919937775994E-3</v>
          </cell>
          <cell r="E151">
            <v>2.3102556117979424E-3</v>
          </cell>
          <cell r="F151">
            <v>2.2936392618681904E-3</v>
          </cell>
          <cell r="G151">
            <v>2.6994442701850979E-4</v>
          </cell>
          <cell r="H151">
            <v>1.0380719157627953E-4</v>
          </cell>
          <cell r="I151">
            <v>2.7310340575640472E-5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4.2732935902340995E-3</v>
          </cell>
          <cell r="E152">
            <v>4.8854664927685826E-3</v>
          </cell>
          <cell r="F152">
            <v>4.8523273560060675E-3</v>
          </cell>
          <cell r="G152">
            <v>5.5613797919941454E-4</v>
          </cell>
          <cell r="H152">
            <v>2.22306668972958E-4</v>
          </cell>
          <cell r="I152">
            <v>5.813503721776992E-5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3.46092408683033E-6</v>
          </cell>
          <cell r="F153">
            <v>2.8401601766131501E-6</v>
          </cell>
          <cell r="G153">
            <v>1.34226214465994E-6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1.5086460460758734E-4</v>
          </cell>
          <cell r="E154">
            <v>1.6177273811341861E-4</v>
          </cell>
          <cell r="F154">
            <v>1.6284236665380165E-4</v>
          </cell>
          <cell r="G154">
            <v>1.8324277268820611E-5</v>
          </cell>
          <cell r="H154">
            <v>7.862370826680686E-6</v>
          </cell>
          <cell r="I154">
            <v>2.1177629630791801E-6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2.7168759741642576</v>
          </cell>
          <cell r="E155">
            <v>2.6625338268928576</v>
          </cell>
          <cell r="F155">
            <v>2.4790218788344527</v>
          </cell>
          <cell r="G155">
            <v>6.3909393644181883E-3</v>
          </cell>
          <cell r="H155">
            <v>1.1300144330170984E-2</v>
          </cell>
          <cell r="I155">
            <v>2.9296829849014099E-3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3.288623548390042E-2</v>
          </cell>
          <cell r="E156">
            <v>3.220018270213923E-2</v>
          </cell>
          <cell r="F156">
            <v>2.9961907784067758E-2</v>
          </cell>
          <cell r="G156">
            <v>5.6769353248698899E-5</v>
          </cell>
          <cell r="H156">
            <v>9.4315228105902637E-5</v>
          </cell>
          <cell r="I156">
            <v>2.4627628677406425E-5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4.8171559825607481E-2</v>
          </cell>
          <cell r="E157">
            <v>4.7208046576114514E-2</v>
          </cell>
          <cell r="F157">
            <v>4.3954288631816496E-2</v>
          </cell>
          <cell r="G157">
            <v>1.1331452773791105E-4</v>
          </cell>
          <cell r="H157">
            <v>2.0035716897466298E-4</v>
          </cell>
          <cell r="I157">
            <v>5.1944733774847696E-5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3.4674701437541402E-6</v>
          </cell>
          <cell r="F158">
            <v>3.1229311507284402E-6</v>
          </cell>
          <cell r="G158">
            <v>1.4149200965986499E-6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2.5369235478161266E-3</v>
          </cell>
          <cell r="F159">
            <v>2.363886186516864E-3</v>
          </cell>
          <cell r="G159">
            <v>4.6495006740844558E-6</v>
          </cell>
          <cell r="H159">
            <v>8.3213049646740333E-6</v>
          </cell>
          <cell r="I159">
            <v>2.2421869557683899E-6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2.6169790977592901E-2</v>
          </cell>
          <cell r="F160">
            <v>0.1308205252790402</v>
          </cell>
          <cell r="G160">
            <v>0.26636966224883246</v>
          </cell>
          <cell r="H160">
            <v>0.13128287183303641</v>
          </cell>
          <cell r="I160">
            <v>2.4600773821242271E-2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1.838184118881509E-4</v>
          </cell>
          <cell r="F161">
            <v>9.7007794716447951E-4</v>
          </cell>
          <cell r="G161">
            <v>2.1054200117643558E-3</v>
          </cell>
          <cell r="H161">
            <v>1.1623849304510851E-3</v>
          </cell>
          <cell r="I161">
            <v>2.423031718721213E-4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3.5460421378852189E-4</v>
          </cell>
          <cell r="F162">
            <v>1.7726358438894345E-3</v>
          </cell>
          <cell r="G162">
            <v>3.6093450169218514E-3</v>
          </cell>
          <cell r="H162">
            <v>1.7789007023446674E-3</v>
          </cell>
          <cell r="I162">
            <v>3.3334381871601924E-4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2.1016236070814901E-5</v>
          </cell>
          <cell r="F163">
            <v>1.23835080234308E-4</v>
          </cell>
          <cell r="G163">
            <v>2.0023952331333701E-4</v>
          </cell>
          <cell r="H163">
            <v>4.9499688805735799E-5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2.07364437482763E-5</v>
          </cell>
          <cell r="F164">
            <v>1.4173596215245101E-4</v>
          </cell>
          <cell r="G164">
            <v>3.1296965197760501E-4</v>
          </cell>
          <cell r="H164">
            <v>1.7048272502953601E-4</v>
          </cell>
          <cell r="I164">
            <v>3.5566493057617898E-5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2.8832315767707572E-2</v>
          </cell>
          <cell r="G165">
            <v>3.0543631535415186E-2</v>
          </cell>
          <cell r="H165">
            <v>3.2006602244411902E-2</v>
          </cell>
          <cell r="I165">
            <v>3.3071687199031086E-2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0.35149986092475399</v>
          </cell>
          <cell r="G166">
            <v>0.45078090930791764</v>
          </cell>
          <cell r="H166">
            <v>0.47237229295618205</v>
          </cell>
          <cell r="I166">
            <v>0.48809144422268164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2.1272984844353901E-2</v>
          </cell>
          <cell r="F167">
            <v>7.4825596525352603E-2</v>
          </cell>
          <cell r="G167">
            <v>0.1900523417094975</v>
          </cell>
          <cell r="H167">
            <v>0.15190531628249224</v>
          </cell>
          <cell r="I167">
            <v>4.1132592119016098E-2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1.2029818514321173E-4</v>
          </cell>
          <cell r="F168">
            <v>4.4534395033875778E-4</v>
          </cell>
          <cell r="G168">
            <v>1.2206028923237729E-3</v>
          </cell>
          <cell r="H168">
            <v>1.145497240754825E-3</v>
          </cell>
          <cell r="I168">
            <v>3.3109056996214657E-4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2.882518271592667E-4</v>
          </cell>
          <cell r="F169">
            <v>1.0138969718882461E-3</v>
          </cell>
          <cell r="G169">
            <v>2.5752349825135237E-3</v>
          </cell>
          <cell r="H169">
            <v>2.0583376190039626E-3</v>
          </cell>
          <cell r="I169">
            <v>5.5735219673463531E-4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9.8641636604510605E-6</v>
          </cell>
          <cell r="F170">
            <v>3.2466408138492299E-5</v>
          </cell>
          <cell r="G170">
            <v>6.5749595464762605E-5</v>
          </cell>
          <cell r="H170">
            <v>4.3774416180624798E-5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9.7328405609598399E-6</v>
          </cell>
          <cell r="F171">
            <v>4.12099235383174E-5</v>
          </cell>
          <cell r="G171">
            <v>9.7869047482212695E-5</v>
          </cell>
          <cell r="H171">
            <v>1.06471775919857E-4</v>
          </cell>
          <cell r="I171">
            <v>3.2855097575490998E-5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2.89090577173968E-2</v>
          </cell>
          <cell r="F172">
            <v>8.6114358511999611E-2</v>
          </cell>
          <cell r="G172">
            <v>0.2476013473170624</v>
          </cell>
          <cell r="H172">
            <v>0.17515022418153112</v>
          </cell>
          <cell r="I172">
            <v>4.5601173846133568E-2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2.216632358878937E-4</v>
          </cell>
          <cell r="F173">
            <v>6.867395649913713E-4</v>
          </cell>
          <cell r="G173">
            <v>2.1145763898354178E-3</v>
          </cell>
          <cell r="H173">
            <v>1.6766357184630144E-3</v>
          </cell>
          <cell r="I173">
            <v>4.7044653437104374E-4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3.9439369327962922E-4</v>
          </cell>
          <cell r="F174">
            <v>1.1748207163983565E-3</v>
          </cell>
          <cell r="G174">
            <v>3.3779174258807953E-3</v>
          </cell>
          <cell r="H174">
            <v>2.3894982835133858E-3</v>
          </cell>
          <cell r="I174">
            <v>6.2211696925148097E-4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2.5093506511390801E-5</v>
          </cell>
          <cell r="F175">
            <v>7.4960845661721504E-5</v>
          </cell>
          <cell r="G175">
            <v>2.41140248627697E-4</v>
          </cell>
          <cell r="H175">
            <v>1.16368961264602E-4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2.47594328721433E-5</v>
          </cell>
          <cell r="F176">
            <v>9.7305116167794694E-5</v>
          </cell>
          <cell r="G176">
            <v>3.1239841077389599E-4</v>
          </cell>
          <cell r="H176">
            <v>2.4817876258504502E-4</v>
          </cell>
          <cell r="I176">
            <v>6.99531174240841E-5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2.7319258905768098E-2</v>
          </cell>
          <cell r="F177">
            <v>0.12130913719773281</v>
          </cell>
          <cell r="G177">
            <v>0.2316453409324867</v>
          </cell>
          <cell r="H177">
            <v>0.1758951875340708</v>
          </cell>
          <cell r="I177">
            <v>4.2882965351779906E-2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1.4361856934578222E-4</v>
          </cell>
          <cell r="F178">
            <v>6.7322826876827814E-4</v>
          </cell>
          <cell r="G178">
            <v>1.3712453529114484E-3</v>
          </cell>
          <cell r="H178">
            <v>1.2326849630328086E-3</v>
          </cell>
          <cell r="I178">
            <v>3.2092180900194795E-4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3.7017965996975717E-4</v>
          </cell>
          <cell r="F179">
            <v>1.6437552465817444E-3</v>
          </cell>
          <cell r="G179">
            <v>3.1388257578927742E-3</v>
          </cell>
          <cell r="H179">
            <v>2.3834036251229093E-3</v>
          </cell>
          <cell r="I179">
            <v>5.8106999121652935E-4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1.0770099569298001E-5</v>
          </cell>
          <cell r="F180">
            <v>4.1001335531171602E-5</v>
          </cell>
          <cell r="G180">
            <v>5.7677873038250698E-5</v>
          </cell>
          <cell r="H180">
            <v>3.6412119934723499E-5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1.06267156083303E-5</v>
          </cell>
          <cell r="F181">
            <v>5.0473934971963203E-5</v>
          </cell>
          <cell r="G181">
            <v>9.8296069625703703E-5</v>
          </cell>
          <cell r="H181">
            <v>9.4950619898619894E-5</v>
          </cell>
          <cell r="I181">
            <v>2.85231262767912E-5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2.2454099054459199E-2</v>
          </cell>
          <cell r="F182">
            <v>7.0143063574985606E-2</v>
          </cell>
          <cell r="G182">
            <v>0.21409273428393999</v>
          </cell>
          <cell r="H182">
            <v>0.20115449726208706</v>
          </cell>
          <cell r="I182">
            <v>6.0232563416045604E-2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1.3849291832232198E-4</v>
          </cell>
          <cell r="F183">
            <v>4.5064608182441451E-4</v>
          </cell>
          <cell r="G183">
            <v>1.4775472839032532E-3</v>
          </cell>
          <cell r="H183">
            <v>1.6077719046805521E-3</v>
          </cell>
          <cell r="I183">
            <v>5.0716666410430635E-4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3.0633150142509081E-4</v>
          </cell>
          <cell r="F184">
            <v>9.5693129024536881E-4</v>
          </cell>
          <cell r="G184">
            <v>2.9207740011451548E-3</v>
          </cell>
          <cell r="H184">
            <v>2.7442632641485271E-3</v>
          </cell>
          <cell r="I184">
            <v>8.2172664960498748E-4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1.1165634440685899E-5</v>
          </cell>
          <cell r="F185">
            <v>3.00304581345756E-5</v>
          </cell>
          <cell r="G185">
            <v>8.3948818045234799E-5</v>
          </cell>
          <cell r="H185">
            <v>7.9094376305746301E-5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1.10169846642821E-5</v>
          </cell>
          <cell r="F186">
            <v>4.0017045091254203E-5</v>
          </cell>
          <cell r="G186">
            <v>1.1398330803716299E-4</v>
          </cell>
          <cell r="H186">
            <v>1.45981044239256E-4</v>
          </cell>
          <cell r="I186">
            <v>5.03799476769202E-5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3.00390233764537E-2</v>
          </cell>
          <cell r="F187">
            <v>0.20170644651037919</v>
          </cell>
          <cell r="G187">
            <v>0.59639244469221597</v>
          </cell>
          <cell r="H187">
            <v>0.6260766506149007</v>
          </cell>
          <cell r="I187">
            <v>0.20060482020323081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1.6009602273386227E-4</v>
          </cell>
          <cell r="F188">
            <v>1.138120293217559E-3</v>
          </cell>
          <cell r="G188">
            <v>3.6354456904096593E-3</v>
          </cell>
          <cell r="H188">
            <v>4.570751244675794E-3</v>
          </cell>
          <cell r="I188">
            <v>1.5430369329191489E-3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4.0703283707931839E-4</v>
          </cell>
          <cell r="F189">
            <v>2.733149681712458E-3</v>
          </cell>
          <cell r="G189">
            <v>8.0811984375638943E-3</v>
          </cell>
          <cell r="H189">
            <v>8.4834234500663856E-3</v>
          </cell>
          <cell r="I189">
            <v>2.7182224959787439E-3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1.36854261941152E-5</v>
          </cell>
          <cell r="F190">
            <v>8.5443376204358899E-5</v>
          </cell>
          <cell r="G190">
            <v>2.2003919827202101E-4</v>
          </cell>
          <cell r="H190">
            <v>3.0068596460274699E-4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1.35032300498161E-5</v>
          </cell>
          <cell r="F191">
            <v>9.7036178595485403E-5</v>
          </cell>
          <cell r="G191">
            <v>2.9296515381605902E-4</v>
          </cell>
          <cell r="H191">
            <v>4.3985741074408402E-4</v>
          </cell>
          <cell r="I191">
            <v>1.6961990408940599E-4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2.9305620707541401E-2</v>
          </cell>
          <cell r="F192">
            <v>0.11571403951279441</v>
          </cell>
          <cell r="G192">
            <v>0.23425253941264459</v>
          </cell>
          <cell r="H192">
            <v>0.21079291378669585</v>
          </cell>
          <cell r="I192">
            <v>5.9383320399328102E-2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1.6803015172999806E-4</v>
          </cell>
          <cell r="F193">
            <v>6.9306200323656741E-4</v>
          </cell>
          <cell r="G193">
            <v>1.4874382909411731E-3</v>
          </cell>
          <cell r="H193">
            <v>1.5652275012487688E-3</v>
          </cell>
          <cell r="I193">
            <v>4.6477393427118643E-4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3.9980382957082393E-4</v>
          </cell>
          <cell r="F194">
            <v>1.5786362825756406E-3</v>
          </cell>
          <cell r="G194">
            <v>3.195805449012881E-3</v>
          </cell>
          <cell r="H194">
            <v>2.875755986175932E-3</v>
          </cell>
          <cell r="I194">
            <v>8.1014079671661834E-4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1.24416339632208E-5</v>
          </cell>
          <cell r="F195">
            <v>3.9636670060590602E-5</v>
          </cell>
          <cell r="G195">
            <v>6.4882559243145303E-5</v>
          </cell>
          <cell r="H195">
            <v>5.7789835572229197E-5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1.22759966126022E-5</v>
          </cell>
          <cell r="F196">
            <v>5.0682315831407102E-5</v>
          </cell>
          <cell r="G196">
            <v>1.05191637372618E-4</v>
          </cell>
          <cell r="H196">
            <v>1.1633262540306301E-4</v>
          </cell>
          <cell r="I196">
            <v>3.8813454024667698E-5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0.25696051774967699</v>
          </cell>
          <cell r="F197">
            <v>0.45903922837541999</v>
          </cell>
          <cell r="G197">
            <v>1.5533212389081541</v>
          </cell>
          <cell r="H197">
            <v>2.1133347552797721</v>
          </cell>
          <cell r="I197">
            <v>5.0824796926787235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5.6970810932414006E-4</v>
          </cell>
          <cell r="F198">
            <v>1.0407005752914823E-3</v>
          </cell>
          <cell r="G198">
            <v>3.8304786371309084E-3</v>
          </cell>
          <cell r="H198">
            <v>5.7578437149201096E-3</v>
          </cell>
          <cell r="I198">
            <v>1.5403676430309095E-2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3.5056005150024142E-3</v>
          </cell>
          <cell r="F199">
            <v>6.2624724198556579E-3</v>
          </cell>
          <cell r="G199">
            <v>2.1191285660411448E-2</v>
          </cell>
          <cell r="H199">
            <v>2.8831306347609449E-2</v>
          </cell>
          <cell r="I199">
            <v>6.9338058563147675E-2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1.2547232950036601E-5</v>
          </cell>
          <cell r="F200">
            <v>1.06462860908045E-5</v>
          </cell>
          <cell r="G200">
            <v>9.4592448104648106E-5</v>
          </cell>
          <cell r="H200">
            <v>9.5751621385376502E-5</v>
          </cell>
          <cell r="I200">
            <v>3.9511880411259901E-4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1.2547232950036601E-5</v>
          </cell>
          <cell r="F201">
            <v>2.3161622091022823E-5</v>
          </cell>
          <cell r="G201">
            <v>1.1558287338071297E-4</v>
          </cell>
          <cell r="H201">
            <v>1.5024920221568815E-4</v>
          </cell>
          <cell r="I201">
            <v>4.4976210747648505E-4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2.25497698051613E-2</v>
          </cell>
          <cell r="F202">
            <v>7.4888508670580098E-2</v>
          </cell>
          <cell r="G202">
            <v>0.1238925600931107</v>
          </cell>
          <cell r="H202">
            <v>0.11534283977598811</v>
          </cell>
          <cell r="I202">
            <v>3.5190686150142467E-2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1.2288056804290375E-4</v>
          </cell>
          <cell r="F203">
            <v>4.2491617784855604E-4</v>
          </cell>
          <cell r="G203">
            <v>7.3842584398227439E-4</v>
          </cell>
          <cell r="H203">
            <v>8.1399921554286994E-4</v>
          </cell>
          <cell r="I203">
            <v>2.5973216270204258E-4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3.0763669584121843E-4</v>
          </cell>
          <cell r="F204">
            <v>1.0216713324772185E-3</v>
          </cell>
          <cell r="G204">
            <v>1.6902122795785883E-3</v>
          </cell>
          <cell r="H204">
            <v>1.5735721661117093E-3</v>
          </cell>
          <cell r="I204">
            <v>4.8009121623659529E-4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1.0557419455483401E-5</v>
          </cell>
          <cell r="F205">
            <v>2.6985562486623099E-5</v>
          </cell>
          <cell r="G205">
            <v>3.1716250003455301E-5</v>
          </cell>
          <cell r="H205">
            <v>3.7865051182502502E-5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1.0416866936968101E-5</v>
          </cell>
          <cell r="F206">
            <v>3.6446918819281099E-5</v>
          </cell>
          <cell r="G206">
            <v>6.1364139496389799E-5</v>
          </cell>
          <cell r="H206">
            <v>7.2567711950300497E-5</v>
          </cell>
          <cell r="I206">
            <v>2.5547134601745099E-5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3.7300324493138297E-2</v>
          </cell>
          <cell r="F207">
            <v>0.83222005107491781</v>
          </cell>
          <cell r="G207">
            <v>8.0064535935545234</v>
          </cell>
          <cell r="H207">
            <v>6.777642416176664</v>
          </cell>
          <cell r="I207">
            <v>2.7331677761052138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5.928051231943964E-5</v>
          </cell>
          <cell r="F208">
            <v>1.3861795287133261E-3</v>
          </cell>
          <cell r="G208">
            <v>1.4318958913299784E-2</v>
          </cell>
          <cell r="H208">
            <v>1.3289566109153307E-2</v>
          </cell>
          <cell r="I208">
            <v>5.4738293797216607E-3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5.0887209404008708E-4</v>
          </cell>
          <cell r="F209">
            <v>1.1353615976465444E-2</v>
          </cell>
          <cell r="G209">
            <v>0.10922856198573692</v>
          </cell>
          <cell r="H209">
            <v>9.2464425868713077E-2</v>
          </cell>
          <cell r="I209">
            <v>3.7287418500753317E-2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1.3722632146012199E-6</v>
          </cell>
          <cell r="F210">
            <v>2.89190453846121E-5</v>
          </cell>
          <cell r="G210">
            <v>2.8127668830379098E-4</v>
          </cell>
          <cell r="H210">
            <v>2.3059936324761499E-4</v>
          </cell>
          <cell r="I210">
            <v>2.06994495304036E-6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1.3722632146012199E-6</v>
          </cell>
          <cell r="F211">
            <v>3.02913085992133E-5</v>
          </cell>
          <cell r="G211">
            <v>3.1138617830035899E-4</v>
          </cell>
          <cell r="H211">
            <v>2.8909620640263974E-4</v>
          </cell>
          <cell r="I211">
            <v>1.1924325595504E-4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0.41619249112508733</v>
          </cell>
          <cell r="E212">
            <v>0.36070436849039267</v>
          </cell>
          <cell r="F212">
            <v>0.2774635100824705</v>
          </cell>
          <cell r="G212">
            <v>0.13873233074560823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0.46788856562438991</v>
          </cell>
          <cell r="E213">
            <v>0.37693308304887119</v>
          </cell>
          <cell r="F213">
            <v>0.26222919173586889</v>
          </cell>
          <cell r="G213">
            <v>0.11309588354994821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2.802663970819861E-2</v>
          </cell>
          <cell r="G214">
            <v>1.4013320544607947E-2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8663.0032801272791</v>
          </cell>
          <cell r="E215">
            <v>8134.7623211085702</v>
          </cell>
          <cell r="F215">
            <v>6634.5688943409104</v>
          </cell>
          <cell r="G215">
            <v>4053.30220819439</v>
          </cell>
          <cell r="H215">
            <v>3070.4710108587901</v>
          </cell>
          <cell r="I215">
            <v>8.9984632886342109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116.44871591606913</v>
          </cell>
          <cell r="E216">
            <v>109.34806278424928</v>
          </cell>
          <cell r="F216">
            <v>89.182354366064899</v>
          </cell>
          <cell r="G216">
            <v>54.484781097424381</v>
          </cell>
          <cell r="H216">
            <v>41.273493142065014</v>
          </cell>
          <cell r="I216">
            <v>0.1209579935844082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118.18558363065856</v>
          </cell>
          <cell r="E217">
            <v>110.97902211607882</v>
          </cell>
          <cell r="F217">
            <v>90.512536075592266</v>
          </cell>
          <cell r="G217">
            <v>55.297438038122571</v>
          </cell>
          <cell r="H217">
            <v>41.889099738864722</v>
          </cell>
          <cell r="I217">
            <v>0.12276211853525526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2.25800218612945E-2</v>
          </cell>
          <cell r="F218">
            <v>0.19637693312417298</v>
          </cell>
          <cell r="G218">
            <v>9.8840138532150377</v>
          </cell>
          <cell r="H218">
            <v>8.7746177844300206</v>
          </cell>
          <cell r="I218">
            <v>2.2442780691521427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2.4100500822546699E-5</v>
          </cell>
          <cell r="F219">
            <v>2.1898811024369746E-4</v>
          </cell>
          <cell r="G219">
            <v>1.1958376089376084E-2</v>
          </cell>
          <cell r="H219">
            <v>1.1660893435119033E-2</v>
          </cell>
          <cell r="I219">
            <v>3.0284210209088466E-3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3.0804941147741498E-4</v>
          </cell>
          <cell r="F220">
            <v>2.6790850358004489E-3</v>
          </cell>
          <cell r="G220">
            <v>0.1348432994981586</v>
          </cell>
          <cell r="H220">
            <v>0.11970829173847233</v>
          </cell>
          <cell r="I220">
            <v>3.061770899252584E-2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5.6846474308285702E-7</v>
          </cell>
          <cell r="F221">
            <v>4.2755872531835999E-6</v>
          </cell>
          <cell r="G221">
            <v>2.5533943023479098E-4</v>
          </cell>
          <cell r="H221">
            <v>1.88458865936908E-4</v>
          </cell>
          <cell r="I221">
            <v>1.3377548667351599E-6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5.6846474308285702E-7</v>
          </cell>
          <cell r="F222">
            <v>4.8440519962664603E-6</v>
          </cell>
          <cell r="G222">
            <v>2.5995182929249E-4</v>
          </cell>
          <cell r="H222">
            <v>2.5350106203721998E-4</v>
          </cell>
          <cell r="I222">
            <v>6.5888920587470001E-5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7.63368909023309E-3</v>
          </cell>
          <cell r="E223">
            <v>1.428634519702447E-2</v>
          </cell>
          <cell r="F223">
            <v>1.0206097028750343E-2</v>
          </cell>
          <cell r="G223">
            <v>1.8297380614507679E-2</v>
          </cell>
          <cell r="H223">
            <v>0.82459846050264629</v>
          </cell>
          <cell r="I223">
            <v>1.6814319714271921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7.6336890902330892E-3</v>
          </cell>
          <cell r="E224">
            <v>1.428634519702447E-2</v>
          </cell>
          <cell r="F224">
            <v>1.0206097028750343E-2</v>
          </cell>
          <cell r="G224">
            <v>1.8297380614507679E-2</v>
          </cell>
          <cell r="H224">
            <v>0.82459846050264629</v>
          </cell>
          <cell r="I224">
            <v>1.6814319714271919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7.636324092526149E-3</v>
          </cell>
          <cell r="E225">
            <v>1.4297915821787296E-2</v>
          </cell>
          <cell r="F225">
            <v>1.0231892399905781E-2</v>
          </cell>
          <cell r="G225">
            <v>1.8321536479109054E-2</v>
          </cell>
          <cell r="H225">
            <v>0.82469845128749497</v>
          </cell>
          <cell r="I225">
            <v>1.6816154172026494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7.636324092526149E-3</v>
          </cell>
          <cell r="E226">
            <v>1.4297915821787296E-2</v>
          </cell>
          <cell r="F226">
            <v>1.0231892399905781E-2</v>
          </cell>
          <cell r="G226">
            <v>1.8321536479109054E-2</v>
          </cell>
          <cell r="H226">
            <v>0.82469845128749497</v>
          </cell>
          <cell r="I226">
            <v>1.6816154172026494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4.4591554081002804E-3</v>
          </cell>
          <cell r="E227">
            <v>4.6091958313951999E-2</v>
          </cell>
          <cell r="F227">
            <v>8.5955719542102106E-3</v>
          </cell>
          <cell r="G227">
            <v>6.6821490518708601E-3</v>
          </cell>
          <cell r="H227">
            <v>10.197334077714199</v>
          </cell>
          <cell r="I227">
            <v>20.177965864928499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4.4591554081002804E-3</v>
          </cell>
          <cell r="E228">
            <v>4.98074185707824E-2</v>
          </cell>
          <cell r="F228">
            <v>5.5366867893746834E-2</v>
          </cell>
          <cell r="G228">
            <v>5.128829634616848E-2</v>
          </cell>
          <cell r="H228">
            <v>9.8832297119777195</v>
          </cell>
          <cell r="I228">
            <v>22.398811223403293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4.1228127758423496E-3</v>
          </cell>
          <cell r="F229">
            <v>7.9505512610871503E-3</v>
          </cell>
          <cell r="G229">
            <v>5.7615127237062242E-3</v>
          </cell>
          <cell r="H229">
            <v>8.898961617476199E-3</v>
          </cell>
          <cell r="I229">
            <v>1.17114639292651E-3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2.9670437936869709E-6</v>
          </cell>
          <cell r="F230">
            <v>5.8469109568104947E-6</v>
          </cell>
          <cell r="G230">
            <v>4.5018956864073024E-6</v>
          </cell>
          <cell r="H230">
            <v>7.9269336892564748E-6</v>
          </cell>
          <cell r="I230">
            <v>1.1521364903706972E-6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5.6245740461696455E-5</v>
          </cell>
          <cell r="F231">
            <v>1.0846591079245766E-4</v>
          </cell>
          <cell r="G231">
            <v>7.8601810691762935E-5</v>
          </cell>
          <cell r="H231">
            <v>1.2140466053855665E-4</v>
          </cell>
          <cell r="I231">
            <v>1.597744055834258E-5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8.6469362799260297E-8</v>
          </cell>
          <cell r="F232">
            <v>7.3251774948645297E-8</v>
          </cell>
          <cell r="G232">
            <v>7.1783447210783403E-8</v>
          </cell>
          <cell r="H232">
            <v>1.0397054031142801E-7</v>
          </cell>
          <cell r="I232">
            <v>3.4747844497889802E-8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8.6469362799260297E-8</v>
          </cell>
          <cell r="F233">
            <v>1.59721137747906E-7</v>
          </cell>
          <cell r="G233">
            <v>1.5163021591224699E-7</v>
          </cell>
          <cell r="H233">
            <v>1.86649375961146E-7</v>
          </cell>
          <cell r="I233">
            <v>5.2993492834954497E-8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1410.20165655455</v>
          </cell>
          <cell r="E234">
            <v>1167.34212734526</v>
          </cell>
          <cell r="F234">
            <v>837.31804856853705</v>
          </cell>
          <cell r="G234">
            <v>356.905639272749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1.5766874451860826</v>
          </cell>
          <cell r="E235">
            <v>1.3376850639703342</v>
          </cell>
          <cell r="F235">
            <v>0.9945011944405574</v>
          </cell>
          <cell r="G235">
            <v>0.42390473388949795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19.238767483690925</v>
          </cell>
          <cell r="E236">
            <v>15.92554061862567</v>
          </cell>
          <cell r="F236">
            <v>11.42316573763352</v>
          </cell>
          <cell r="G236">
            <v>4.8691083120429575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9.8872350281678425E-3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2.8097030441732101E-5</v>
          </cell>
          <cell r="F238">
            <v>1.2833252648185501E-4</v>
          </cell>
          <cell r="G238">
            <v>2.4181174994811099E-6</v>
          </cell>
          <cell r="H238">
            <v>2.8453902457089501E-4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2.2876575233998402E-3</v>
          </cell>
          <cell r="F239">
            <v>1.0448821996045301E-2</v>
          </cell>
          <cell r="G239">
            <v>1.9688289485341601E-4</v>
          </cell>
          <cell r="H239">
            <v>2.3167140086578299E-2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3.0998069422762092E-5</v>
          </cell>
          <cell r="F240">
            <v>1.4158295387595298E-4</v>
          </cell>
          <cell r="G240">
            <v>2.6677899031628239E-6</v>
          </cell>
          <cell r="H240">
            <v>3.1391788735200967E-4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1.03541730040032E-6</v>
          </cell>
          <cell r="E241">
            <v>1.8786582814310901E-6</v>
          </cell>
          <cell r="F241">
            <v>1.1154460949964899E-5</v>
          </cell>
          <cell r="G241">
            <v>4.0741012704678902E-6</v>
          </cell>
          <cell r="H241">
            <v>8.6876630944996905E-5</v>
          </cell>
          <cell r="I241">
            <v>1.62685960525605E-6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1.5951123836344903</v>
          </cell>
          <cell r="E242">
            <v>1.5951142622927716</v>
          </cell>
          <cell r="F242">
            <v>1.3413023122166301E-4</v>
          </cell>
          <cell r="G242">
            <v>1.5597078832252365E-5</v>
          </cell>
          <cell r="H242">
            <v>2.2440383312039014E-4</v>
          </cell>
          <cell r="I242">
            <v>7.2016167728109935E-6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6.6143807995808962E-2</v>
          </cell>
          <cell r="E243">
            <v>0.10451693854052528</v>
          </cell>
          <cell r="F243">
            <v>7.4491273171221395E-2</v>
          </cell>
          <cell r="G243">
            <v>0.10991201627448589</v>
          </cell>
          <cell r="H243">
            <v>9.4913709219235844</v>
          </cell>
          <cell r="I243">
            <v>10.574379323430927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6.6143807995808948E-2</v>
          </cell>
          <cell r="E244">
            <v>0.10451693854052528</v>
          </cell>
          <cell r="F244">
            <v>7.4491273171221395E-2</v>
          </cell>
          <cell r="G244">
            <v>0.10991201627448588</v>
          </cell>
          <cell r="H244">
            <v>9.4913709219235844</v>
          </cell>
          <cell r="I244">
            <v>10.574379323430925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6.6151981958392558E-2</v>
          </cell>
          <cell r="E245">
            <v>0.10453561975796713</v>
          </cell>
          <cell r="F245">
            <v>7.4520597907841352E-2</v>
          </cell>
          <cell r="G245">
            <v>0.10993898966813985</v>
          </cell>
          <cell r="H245">
            <v>9.4923378897842579</v>
          </cell>
          <cell r="I245">
            <v>10.575452143577611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6.6151981958392558E-2</v>
          </cell>
          <cell r="E246">
            <v>0.10453561975796713</v>
          </cell>
          <cell r="F246">
            <v>7.4520597907841352E-2</v>
          </cell>
          <cell r="G246">
            <v>0.10993898966813985</v>
          </cell>
          <cell r="H246">
            <v>9.4923378897842579</v>
          </cell>
          <cell r="I246">
            <v>10.575452143577611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1.0835047394215799E-2</v>
          </cell>
          <cell r="E247">
            <v>4.92768000080471E-2</v>
          </cell>
          <cell r="F247">
            <v>3.3625948071529403E-2</v>
          </cell>
          <cell r="G247">
            <v>0.30788521545526898</v>
          </cell>
          <cell r="H247">
            <v>116.12118847462899</v>
          </cell>
          <cell r="I247">
            <v>167.93111292555901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1.0835047394215799E-2</v>
          </cell>
          <cell r="E248">
            <v>5.9142210824016245E-2</v>
          </cell>
          <cell r="F248">
            <v>8.8797917709622365E-2</v>
          </cell>
          <cell r="G248">
            <v>0.36541647593318244</v>
          </cell>
          <cell r="H248">
            <v>201.26824405418219</v>
          </cell>
          <cell r="I248">
            <v>227.99849722373156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3.2599667787557771</v>
          </cell>
          <cell r="E249">
            <v>12.404350261163867</v>
          </cell>
          <cell r="F249">
            <v>25.218117339381003</v>
          </cell>
          <cell r="G249">
            <v>44.764207719526802</v>
          </cell>
          <cell r="H249">
            <v>65.455833693162845</v>
          </cell>
          <cell r="I249">
            <v>16.495882627189054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8.4276927678211655E-2</v>
          </cell>
          <cell r="E250">
            <v>0.32283832153033226</v>
          </cell>
          <cell r="F250">
            <v>0.66186555984892936</v>
          </cell>
          <cell r="G250">
            <v>1.1964493865145251</v>
          </cell>
          <cell r="H250">
            <v>1.8319722910199441</v>
          </cell>
          <cell r="I250">
            <v>0.46454143250618685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4.4172991582056578E-2</v>
          </cell>
          <cell r="E251">
            <v>0.16808062684503886</v>
          </cell>
          <cell r="F251">
            <v>0.34170890703768292</v>
          </cell>
          <cell r="G251">
            <v>0.60656108021039035</v>
          </cell>
          <cell r="H251">
            <v>0.88693541589651603</v>
          </cell>
          <cell r="I251">
            <v>0.22352144481286007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7.8147626245100299E-2</v>
          </cell>
          <cell r="F252">
            <v>0.116762377461226</v>
          </cell>
          <cell r="G252">
            <v>0.23225077747834</v>
          </cell>
          <cell r="H252">
            <v>0.310216414026381</v>
          </cell>
          <cell r="I252">
            <v>4.76702405853239E-4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2.9121490531066378E-2</v>
          </cell>
          <cell r="E253">
            <v>0.1111184780143132</v>
          </cell>
          <cell r="F253">
            <v>0.227881055156267</v>
          </cell>
          <cell r="G253">
            <v>0.43465381880612564</v>
          </cell>
          <cell r="H253">
            <v>0.73751820418224723</v>
          </cell>
          <cell r="I253">
            <v>0.22381935115186408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14.0278091150081</v>
          </cell>
          <cell r="F254">
            <v>9.9395844664951092</v>
          </cell>
          <cell r="G254">
            <v>6.6238320750937797E-6</v>
          </cell>
          <cell r="H254">
            <v>16.151208779064099</v>
          </cell>
          <cell r="I254">
            <v>16.150248388526201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1040.4430336549699</v>
          </cell>
          <cell r="F255">
            <v>737.21928569199997</v>
          </cell>
          <cell r="G255">
            <v>4.91289828805721E-4</v>
          </cell>
          <cell r="H255">
            <v>1197.93565206882</v>
          </cell>
          <cell r="I255">
            <v>1197.8644198730799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14.194311509617586</v>
          </cell>
          <cell r="F256">
            <v>10.057561878472052</v>
          </cell>
          <cell r="G256">
            <v>6.7024533261353729E-6</v>
          </cell>
          <cell r="H256">
            <v>16.34291476219402</v>
          </cell>
          <cell r="I256">
            <v>16.341942972347596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8.0113110404670996E-7</v>
          </cell>
          <cell r="E257">
            <v>1.25309960430641E-5</v>
          </cell>
          <cell r="F257">
            <v>5.3588925911365802E-6</v>
          </cell>
          <cell r="G257">
            <v>4.0046873869205797E-6</v>
          </cell>
          <cell r="H257">
            <v>14.295999063919901</v>
          </cell>
          <cell r="I257">
            <v>1.8542009930499701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17.176522720138806</v>
          </cell>
          <cell r="E258">
            <v>17.176535251134847</v>
          </cell>
          <cell r="F258">
            <v>15.301533035610621</v>
          </cell>
          <cell r="G258">
            <v>10.301532899290315</v>
          </cell>
          <cell r="H258">
            <v>16.151133811216788</v>
          </cell>
          <cell r="I258">
            <v>16.150200071536791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4.576173847325838E-2</v>
          </cell>
          <cell r="E259">
            <v>9.603849656093208E-2</v>
          </cell>
          <cell r="F259">
            <v>0.10137844551312482</v>
          </cell>
          <cell r="G259">
            <v>4.1893991275661744</v>
          </cell>
          <cell r="H259">
            <v>4.0683475063307286</v>
          </cell>
          <cell r="I259">
            <v>2.0063146050080878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4.576173847325838E-2</v>
          </cell>
          <cell r="E260">
            <v>9.6038496560932038E-2</v>
          </cell>
          <cell r="F260">
            <v>0.1013784455131248</v>
          </cell>
          <cell r="G260">
            <v>4.1893991275661735</v>
          </cell>
          <cell r="H260">
            <v>4.0683475063307277</v>
          </cell>
          <cell r="I260">
            <v>2.0063146050080878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4.576750888195346E-2</v>
          </cell>
          <cell r="E261">
            <v>9.6056230711172863E-2</v>
          </cell>
          <cell r="F261">
            <v>0.10141031052843431</v>
          </cell>
          <cell r="G261">
            <v>4.1898340805349399</v>
          </cell>
          <cell r="H261">
            <v>4.0687709775958441</v>
          </cell>
          <cell r="I261">
            <v>2.0065304309198559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4.576750888195346E-2</v>
          </cell>
          <cell r="E262">
            <v>9.6056230711172863E-2</v>
          </cell>
          <cell r="F262">
            <v>0.10141031052843431</v>
          </cell>
          <cell r="G262">
            <v>4.1898340805349399</v>
          </cell>
          <cell r="H262">
            <v>4.0687709775958441</v>
          </cell>
          <cell r="I262">
            <v>2.0065304309198559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9.7940217270108196E-3</v>
          </cell>
          <cell r="E263">
            <v>0.44003346660489001</v>
          </cell>
          <cell r="F263">
            <v>0.13890687790699599</v>
          </cell>
          <cell r="G263">
            <v>51.52460152407</v>
          </cell>
          <cell r="H263">
            <v>7.1982431284951701E-2</v>
          </cell>
          <cell r="I263">
            <v>13.653404993235201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9.7940217270108196E-3</v>
          </cell>
          <cell r="E264">
            <v>0.44368428235173679</v>
          </cell>
          <cell r="F264">
            <v>0.55504217886743956</v>
          </cell>
          <cell r="G264">
            <v>49.307932400308687</v>
          </cell>
          <cell r="H264">
            <v>55.970567170060903</v>
          </cell>
          <cell r="I264">
            <v>22.280429058453169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8.2648415432267104</v>
          </cell>
          <cell r="E265">
            <v>12.028947003220701</v>
          </cell>
          <cell r="F265">
            <v>12.016539698461546</v>
          </cell>
          <cell r="G265">
            <v>7.4996906491832824</v>
          </cell>
          <cell r="H265">
            <v>4.5582738574427552E-2</v>
          </cell>
          <cell r="I265">
            <v>2.2363408063144477E-2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0.12349812098472006</v>
          </cell>
          <cell r="E266">
            <v>0.17999410625325399</v>
          </cell>
          <cell r="F266">
            <v>0.17981385582331921</v>
          </cell>
          <cell r="G266">
            <v>0.11226075348053791</v>
          </cell>
          <cell r="H266">
            <v>7.2977387426829087E-4</v>
          </cell>
          <cell r="I266">
            <v>3.6723595640797532E-4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0.11198972280795005</v>
          </cell>
          <cell r="E267">
            <v>0.16299386183225886</v>
          </cell>
          <cell r="F267">
            <v>0.16282574117156584</v>
          </cell>
          <cell r="G267">
            <v>0.10162182451467845</v>
          </cell>
          <cell r="H267">
            <v>6.1765228420633479E-4</v>
          </cell>
          <cell r="I267">
            <v>3.0302720952770355E-4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8.0693052789118598E-5</v>
          </cell>
          <cell r="F268">
            <v>9.8044560599621505E-5</v>
          </cell>
          <cell r="G268">
            <v>1.09600802597603E-4</v>
          </cell>
          <cell r="H268">
            <v>9.3196045670777903E-5</v>
          </cell>
          <cell r="I268">
            <v>4.6337441696559503E-5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4.2720126622622728E-2</v>
          </cell>
          <cell r="E269">
            <v>6.1962151509947341E-2</v>
          </cell>
          <cell r="F269">
            <v>6.2060832515512331E-2</v>
          </cell>
          <cell r="G269">
            <v>5.3876007316391937E-2</v>
          </cell>
          <cell r="H269">
            <v>2.8924255875743506E-4</v>
          </cell>
          <cell r="I269">
            <v>1.548030621463428E-4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0.14898895170637536</v>
          </cell>
          <cell r="E270">
            <v>1.0744614330722502</v>
          </cell>
          <cell r="F270">
            <v>2.5336349674729193</v>
          </cell>
          <cell r="G270">
            <v>7.2370357395694755</v>
          </cell>
          <cell r="H270">
            <v>11.399047157371836</v>
          </cell>
          <cell r="I270">
            <v>13.816189799984585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0.14898895170637533</v>
          </cell>
          <cell r="E271">
            <v>1.0744614330722502</v>
          </cell>
          <cell r="F271">
            <v>2.5336349674729193</v>
          </cell>
          <cell r="G271">
            <v>7.2370357395694738</v>
          </cell>
          <cell r="H271">
            <v>11.399047157371836</v>
          </cell>
          <cell r="I271">
            <v>13.816189799984585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0.14900492218707756</v>
          </cell>
          <cell r="E272">
            <v>1.0745770093897364</v>
          </cell>
          <cell r="F272">
            <v>2.5339100675921222</v>
          </cell>
          <cell r="G272">
            <v>7.237775575930133</v>
          </cell>
          <cell r="H272">
            <v>11.400202849857759</v>
          </cell>
          <cell r="I272">
            <v>13.817586310882433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0.14900492218707756</v>
          </cell>
          <cell r="E273">
            <v>1.0745770093897364</v>
          </cell>
          <cell r="F273">
            <v>2.5339100675921222</v>
          </cell>
          <cell r="G273">
            <v>7.237775575930133</v>
          </cell>
          <cell r="H273">
            <v>11.400202849857759</v>
          </cell>
          <cell r="I273">
            <v>13.817586310882433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2.3152667029532399E-2</v>
          </cell>
          <cell r="E274">
            <v>13.1945636848956</v>
          </cell>
          <cell r="F274">
            <v>24.666034423832599</v>
          </cell>
          <cell r="G274">
            <v>65.756792766386695</v>
          </cell>
          <cell r="H274">
            <v>90.412698766480702</v>
          </cell>
          <cell r="I274">
            <v>261.18861953691498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2.3152667029532399E-2</v>
          </cell>
          <cell r="E275">
            <v>13.041381713510978</v>
          </cell>
          <cell r="F275">
            <v>36.625428384388968</v>
          </cell>
          <cell r="G275">
            <v>93.584998464779119</v>
          </cell>
          <cell r="H275">
            <v>179.75412870799332</v>
          </cell>
          <cell r="I275">
            <v>287.77074934872189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12.234880972059729</v>
          </cell>
          <cell r="E276">
            <v>14.59521598824208</v>
          </cell>
          <cell r="F276">
            <v>14.996411751647861</v>
          </cell>
          <cell r="G276">
            <v>14.527936194355934</v>
          </cell>
          <cell r="H276">
            <v>3.4213066604901159</v>
          </cell>
          <cell r="I276">
            <v>2.247310067659114E-2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0.12092753771609681</v>
          </cell>
          <cell r="E277">
            <v>0.14440452604862125</v>
          </cell>
          <cell r="F277">
            <v>0.14837624006806985</v>
          </cell>
          <cell r="G277">
            <v>0.14374614490651094</v>
          </cell>
          <cell r="H277">
            <v>3.3914123256940938E-2</v>
          </cell>
          <cell r="I277">
            <v>2.4150579083058972E-4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0.16578429501435923</v>
          </cell>
          <cell r="E278">
            <v>0.19776715431222322</v>
          </cell>
          <cell r="F278">
            <v>0.20320341126894131</v>
          </cell>
          <cell r="G278">
            <v>0.19685550398856297</v>
          </cell>
          <cell r="H278">
            <v>4.6359168841329547E-2</v>
          </cell>
          <cell r="I278">
            <v>3.0451355930340271E-4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3.9972950414785402E-5</v>
          </cell>
          <cell r="F279">
            <v>4.8499706148190598E-5</v>
          </cell>
          <cell r="G279">
            <v>4.8535278975208503E-5</v>
          </cell>
          <cell r="H279">
            <v>3.15449542116988E-5</v>
          </cell>
          <cell r="I279">
            <v>2.1221099277602299E-5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5.3232814801056419E-2</v>
          </cell>
          <cell r="E280">
            <v>6.907046792017546E-2</v>
          </cell>
          <cell r="F280">
            <v>6.9120029068004935E-2</v>
          </cell>
          <cell r="G280">
            <v>6.9169240367012594E-2</v>
          </cell>
          <cell r="H280">
            <v>1.6124423863282885E-2</v>
          </cell>
          <cell r="I280">
            <v>1.0013730088505177E-4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4722.2889472300203</v>
          </cell>
          <cell r="E281">
            <v>4340.1259450204598</v>
          </cell>
          <cell r="F281">
            <v>3839.5679312277298</v>
          </cell>
          <cell r="G281">
            <v>812.91485783436303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18.302990828025933</v>
          </cell>
          <cell r="E282">
            <v>17.204573871694194</v>
          </cell>
          <cell r="F282">
            <v>15.728299239959258</v>
          </cell>
          <cell r="G282">
            <v>3.5092491019438721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63.987655111517853</v>
          </cell>
          <cell r="E283">
            <v>58.809294647973729</v>
          </cell>
          <cell r="F283">
            <v>52.026665734793013</v>
          </cell>
          <cell r="G283">
            <v>11.015106474720369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1.6628708793376301</v>
          </cell>
          <cell r="G284">
            <v>0.83143923731767266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7.9503019531252299</v>
          </cell>
          <cell r="E285">
            <v>9.3143511006673432</v>
          </cell>
          <cell r="F285">
            <v>9.5545880802582541</v>
          </cell>
          <cell r="G285">
            <v>9.2893219151125255</v>
          </cell>
          <cell r="H285">
            <v>8.4741648609125697</v>
          </cell>
          <cell r="I285">
            <v>0.133348923979241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7.2802537929769595E-2</v>
          </cell>
          <cell r="E286">
            <v>8.5370960650368172E-2</v>
          </cell>
          <cell r="F286">
            <v>8.7574373936303379E-2</v>
          </cell>
          <cell r="G286">
            <v>8.5145307113435806E-2</v>
          </cell>
          <cell r="H286">
            <v>7.7688948503493852E-2</v>
          </cell>
          <cell r="I286">
            <v>1.2370877928481354E-3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0.1077276687415341</v>
          </cell>
          <cell r="E287">
            <v>0.12621071952123766</v>
          </cell>
          <cell r="F287">
            <v>0.12946596314713013</v>
          </cell>
          <cell r="G287">
            <v>0.12587157066548088</v>
          </cell>
          <cell r="H287">
            <v>0.11482608212618675</v>
          </cell>
          <cell r="I287">
            <v>1.8068959888786059E-3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2.42881604530357E-5</v>
          </cell>
          <cell r="F288">
            <v>2.6709330401572802E-5</v>
          </cell>
          <cell r="G288">
            <v>2.2271650639550799E-5</v>
          </cell>
          <cell r="H288">
            <v>1.8017909258492701E-5</v>
          </cell>
          <cell r="I288">
            <v>1.25216648655154E-5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3.2743090439015E-2</v>
          </cell>
          <cell r="E289">
            <v>4.089215180473136E-2</v>
          </cell>
          <cell r="F289">
            <v>4.0919997787899537E-2</v>
          </cell>
          <cell r="G289">
            <v>4.0943176032644996E-2</v>
          </cell>
          <cell r="H289">
            <v>3.7131008653754363E-2</v>
          </cell>
          <cell r="I289">
            <v>5.6711713555291049E-4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3821.2785795725399</v>
          </cell>
          <cell r="E290">
            <v>3569.77772928577</v>
          </cell>
          <cell r="F290">
            <v>2546.3089825183702</v>
          </cell>
          <cell r="G290">
            <v>1175.14223088983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17.673726235323432</v>
          </cell>
          <cell r="E291">
            <v>17.235952047335875</v>
          </cell>
          <cell r="F291">
            <v>13.070517651524073</v>
          </cell>
          <cell r="G291">
            <v>6.6291706275969275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52.132040649011508</v>
          </cell>
          <cell r="E292">
            <v>48.700924001170108</v>
          </cell>
          <cell r="F292">
            <v>34.738185300387059</v>
          </cell>
          <cell r="G292">
            <v>16.031954036696241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0.70636475524086229</v>
          </cell>
          <cell r="G293">
            <v>0.35318380014302775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9.4079827161638492E-5</v>
          </cell>
          <cell r="F294">
            <v>1.4509145674051571E-4</v>
          </cell>
          <cell r="G294">
            <v>2.5419167773556918E-4</v>
          </cell>
          <cell r="H294">
            <v>4.6117992745055346E-4</v>
          </cell>
          <cell r="I294">
            <v>4.7013538978824806E-4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5.1652179389704479E-5</v>
          </cell>
          <cell r="F295">
            <v>7.965884055674056E-5</v>
          </cell>
          <cell r="G295">
            <v>1.3955759203521597E-4</v>
          </cell>
          <cell r="H295">
            <v>2.4161408322576425E-4</v>
          </cell>
          <cell r="I295">
            <v>2.2907076376648753E-4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1.5863411907917075E-3</v>
          </cell>
          <cell r="E296">
            <v>2.9055251938209766E-3</v>
          </cell>
          <cell r="F296">
            <v>4.0895311313875558E-3</v>
          </cell>
          <cell r="G296">
            <v>1.8446441082020617E-2</v>
          </cell>
          <cell r="H296">
            <v>4.9233632099287264E-3</v>
          </cell>
          <cell r="I296">
            <v>8.0557184728303408E-3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1.0553537191133552E-3</v>
          </cell>
          <cell r="E297">
            <v>1.9329743418855382E-3</v>
          </cell>
          <cell r="F297">
            <v>2.720664327442533E-3</v>
          </cell>
          <cell r="G297">
            <v>1.2271962874897065E-2</v>
          </cell>
          <cell r="H297">
            <v>3.0609453730698274E-3</v>
          </cell>
          <cell r="I297">
            <v>4.4820143040298736E-3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1.213855666721255E-4</v>
          </cell>
          <cell r="F298">
            <v>1.4964707402388689E-4</v>
          </cell>
          <cell r="G298">
            <v>2.5884371722910979E-4</v>
          </cell>
          <cell r="H298">
            <v>4.6182989547437903E-4</v>
          </cell>
          <cell r="I298">
            <v>4.7307914011357401E-4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6.664371368686047E-5</v>
          </cell>
          <cell r="F299">
            <v>8.2159988446258299E-5</v>
          </cell>
          <cell r="G299">
            <v>1.4211167813101122E-4</v>
          </cell>
          <cell r="H299">
            <v>2.4195400709491865E-4</v>
          </cell>
          <cell r="I299">
            <v>2.3052951610222244E-4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3.5370833501607003E-2</v>
          </cell>
          <cell r="G300">
            <v>3.726366700321395E-2</v>
          </cell>
          <cell r="H300">
            <v>3.9048512196511807E-2</v>
          </cell>
          <cell r="I300">
            <v>4.0347931071859175E-2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0.65830556959273911</v>
          </cell>
          <cell r="G301">
            <v>0.7379148962536346</v>
          </cell>
          <cell r="H301">
            <v>0.77325934733858914</v>
          </cell>
          <cell r="I301">
            <v>0.79899112903654423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2.4626000848059423E-2</v>
          </cell>
          <cell r="F302">
            <v>0.15787258619567321</v>
          </cell>
          <cell r="G302">
            <v>0.52014960795269038</v>
          </cell>
          <cell r="H302">
            <v>2.360663131328173</v>
          </cell>
          <cell r="I302">
            <v>5.4110101409569751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1.7575374601099248E-2</v>
          </cell>
          <cell r="F303">
            <v>0.11267236847561239</v>
          </cell>
          <cell r="G303">
            <v>0.37122650424597281</v>
          </cell>
          <cell r="H303">
            <v>1.533435235535209</v>
          </cell>
          <cell r="I303">
            <v>3.1881597897718978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7.3110148377133872E-5</v>
          </cell>
          <cell r="F304">
            <v>1.5061898413001835E-4</v>
          </cell>
          <cell r="G304">
            <v>5.1774082821563847E-4</v>
          </cell>
          <cell r="H304">
            <v>1.9506637500169871E-2</v>
          </cell>
          <cell r="I304">
            <v>4.9224382029896534E-2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4.8638380849349417E-5</v>
          </cell>
          <cell r="F305">
            <v>1.0020310006030858E-4</v>
          </cell>
          <cell r="G305">
            <v>3.444402199009327E-4</v>
          </cell>
          <cell r="H305">
            <v>1.1899203927219559E-2</v>
          </cell>
          <cell r="I305">
            <v>2.7113330772791575E-2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146.16569986328599</v>
          </cell>
          <cell r="E306">
            <v>111.390845937705</v>
          </cell>
          <cell r="F306">
            <v>76.484808509081304</v>
          </cell>
          <cell r="G306">
            <v>33.4355620269789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1.5273426467887627</v>
          </cell>
          <cell r="E307">
            <v>1.1882268770954705</v>
          </cell>
          <cell r="F307">
            <v>0.84086462302862608</v>
          </cell>
          <cell r="G307">
            <v>0.38579166946973087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1.9805650387979206</v>
          </cell>
          <cell r="E308">
            <v>1.5093610560664603</v>
          </cell>
          <cell r="F308">
            <v>1.0363795190932423</v>
          </cell>
          <cell r="G308">
            <v>0.45305639602952347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0.37186226299214442</v>
          </cell>
          <cell r="G309">
            <v>0.18593053585952488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1.7524364755095606E-3</v>
          </cell>
          <cell r="F310">
            <v>4.6054199673483207E-3</v>
          </cell>
          <cell r="G310">
            <v>3.5174693495671192E-2</v>
          </cell>
          <cell r="H310">
            <v>5.7278886571171103E-3</v>
          </cell>
          <cell r="I310">
            <v>3.7604351468839199E-3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1.3083747155280532E-3</v>
          </cell>
          <cell r="F311">
            <v>3.4384213772510604E-3</v>
          </cell>
          <cell r="G311">
            <v>2.6261539427729293E-2</v>
          </cell>
          <cell r="H311">
            <v>4.029737527353661E-3</v>
          </cell>
          <cell r="I311">
            <v>2.4050527960402593E-3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8.4651753804550034E-2</v>
          </cell>
          <cell r="F312">
            <v>0.13729004481501958</v>
          </cell>
          <cell r="G312">
            <v>0.91618747908499909</v>
          </cell>
          <cell r="H312">
            <v>3.4072739502939435</v>
          </cell>
          <cell r="I312">
            <v>4.4101059402289593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6.0415261614523923E-2</v>
          </cell>
          <cell r="F313">
            <v>9.798277769554356E-2</v>
          </cell>
          <cell r="G313">
            <v>0.65387548100505222</v>
          </cell>
          <cell r="H313">
            <v>2.2132165223814426</v>
          </cell>
          <cell r="I313">
            <v>2.5984494853414883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3.211479737460085E-4</v>
          </cell>
          <cell r="F314">
            <v>1.0293500088477856E-3</v>
          </cell>
          <cell r="G314">
            <v>3.9373402155643764E-3</v>
          </cell>
          <cell r="H314">
            <v>5.6528906849649969E-3</v>
          </cell>
          <cell r="I314">
            <v>3.8103148647840512E-3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2.3977011130755385E-4</v>
          </cell>
          <cell r="F315">
            <v>7.6851603115223597E-4</v>
          </cell>
          <cell r="G315">
            <v>2.9396308833267628E-3</v>
          </cell>
          <cell r="H315">
            <v>3.9791415103767871E-3</v>
          </cell>
          <cell r="I315">
            <v>2.4366924867527499E-3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1.423729444748884</v>
          </cell>
          <cell r="E316">
            <v>1.3479363315025474</v>
          </cell>
          <cell r="F316">
            <v>1.7630096155487416</v>
          </cell>
          <cell r="G316">
            <v>7.9216059648724718E-3</v>
          </cell>
          <cell r="H316">
            <v>6.0737912832456876E-3</v>
          </cell>
          <cell r="I316">
            <v>5.8066841922650141E-3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8.0924611861097895E-3</v>
          </cell>
          <cell r="E317">
            <v>7.6616540342435207E-3</v>
          </cell>
          <cell r="F317">
            <v>1.0020925631051275E-2</v>
          </cell>
          <cell r="G317">
            <v>4.5026313839911503E-5</v>
          </cell>
          <cell r="H317">
            <v>3.4523357224565278E-5</v>
          </cell>
          <cell r="I317">
            <v>3.3005123704658638E-5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2.5243429871434103E-2</v>
          </cell>
          <cell r="E318">
            <v>2.3899580345789845E-2</v>
          </cell>
          <cell r="F318">
            <v>3.1259035736679826E-2</v>
          </cell>
          <cell r="G318">
            <v>1.4045400646937008E-4</v>
          </cell>
          <cell r="H318">
            <v>1.0769133480932062E-4</v>
          </cell>
          <cell r="I318">
            <v>1.0295539347987613E-4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2.5442623431772802E-7</v>
          </cell>
          <cell r="E319">
            <v>3.7568917435362699E-6</v>
          </cell>
          <cell r="F319">
            <v>2.1382560743470599E-6</v>
          </cell>
          <cell r="G319">
            <v>7.5838851023883296E-7</v>
          </cell>
          <cell r="I319">
            <v>2.2414054566339099E-6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5.8315290134024851E-4</v>
          </cell>
          <cell r="E320">
            <v>7.129083565171674E-4</v>
          </cell>
          <cell r="F320">
            <v>7.1511236319039557E-4</v>
          </cell>
          <cell r="G320">
            <v>3.6816970465100921E-6</v>
          </cell>
          <cell r="H320">
            <v>2.72437657135709E-6</v>
          </cell>
          <cell r="I320">
            <v>2.69592968329368E-6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2.4021973658062135E-2</v>
          </cell>
          <cell r="E321">
            <v>5.3515964248788621E-2</v>
          </cell>
          <cell r="F321">
            <v>8.0454247939235779E-2</v>
          </cell>
          <cell r="G321">
            <v>1.1761532224792681</v>
          </cell>
          <cell r="H321">
            <v>3.4379100956421937</v>
          </cell>
          <cell r="I321">
            <v>3.8049763836923653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3.5256045749505555E-2</v>
          </cell>
          <cell r="E322">
            <v>7.8543141822610837E-2</v>
          </cell>
          <cell r="F322">
            <v>0.11807933379927692</v>
          </cell>
          <cell r="G322">
            <v>1.7261908788348326</v>
          </cell>
          <cell r="H322">
            <v>5.0456768182313407</v>
          </cell>
          <cell r="I322">
            <v>5.5844046525387823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1.1557217347516399E-3</v>
          </cell>
          <cell r="F323">
            <v>1.88377826674653E-3</v>
          </cell>
          <cell r="G323">
            <v>7.7319298691587796E-2</v>
          </cell>
          <cell r="H323">
            <v>0.19396774697998201</v>
          </cell>
          <cell r="I323">
            <v>0.23270326964858101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1.6988897094000733E-3</v>
          </cell>
          <cell r="E324">
            <v>3.7476340744976157E-3</v>
          </cell>
          <cell r="F324">
            <v>5.6315000014981603E-3</v>
          </cell>
          <cell r="G324">
            <v>8.1987644626871678E-2</v>
          </cell>
          <cell r="H324">
            <v>0.34156861137073508</v>
          </cell>
          <cell r="I324">
            <v>0.35347807804977693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1.4790664931628813E-4</v>
          </cell>
          <cell r="E325">
            <v>2.2330233849387839E-4</v>
          </cell>
          <cell r="F325">
            <v>3.2566701990269285E-4</v>
          </cell>
          <cell r="G325">
            <v>6.0638755944091023E-2</v>
          </cell>
          <cell r="H325">
            <v>5.8934905180994458E-2</v>
          </cell>
          <cell r="I325">
            <v>4.7608292639315875E-2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3.9057116068962273E-4</v>
          </cell>
          <cell r="E326">
            <v>5.8124933936817022E-4</v>
          </cell>
          <cell r="F326">
            <v>8.2338631456647406E-4</v>
          </cell>
          <cell r="G326">
            <v>0.13562731691579508</v>
          </cell>
          <cell r="H326">
            <v>0.12501052929036444</v>
          </cell>
          <cell r="I326">
            <v>9.0573950690943691E-2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1.48601750160303E-6</v>
          </cell>
          <cell r="F327">
            <v>3.1838337575931698E-6</v>
          </cell>
          <cell r="G327">
            <v>1.3128533940434601E-3</v>
          </cell>
          <cell r="H327">
            <v>2.2221217149883601E-5</v>
          </cell>
          <cell r="I327">
            <v>8.1365243212660001E-4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5.1388072814141791E-6</v>
          </cell>
          <cell r="F328">
            <v>7.6441630994977899E-6</v>
          </cell>
          <cell r="G328">
            <v>1.3192881074621785E-3</v>
          </cell>
          <cell r="H328">
            <v>1.288749667222706E-3</v>
          </cell>
          <cell r="I328">
            <v>1.0467130175542828E-3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1.995794154521616E-4</v>
          </cell>
          <cell r="E329">
            <v>2.1940889668328414E-4</v>
          </cell>
          <cell r="F329">
            <v>3.1533915540574972E-4</v>
          </cell>
          <cell r="G329">
            <v>4.3009152580325165E-2</v>
          </cell>
          <cell r="H329">
            <v>4.4119046821571674E-2</v>
          </cell>
          <cell r="I329">
            <v>5.0387176274713737E-2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7.2526674963498366E-4</v>
          </cell>
          <cell r="E330">
            <v>7.8774487567820741E-4</v>
          </cell>
          <cell r="F330">
            <v>1.1089614896384373E-3</v>
          </cell>
          <cell r="G330">
            <v>0.13270907732216317</v>
          </cell>
          <cell r="H330">
            <v>0.12550315769108103</v>
          </cell>
          <cell r="I330">
            <v>0.13276572706515075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8.1010711930840604E-7</v>
          </cell>
          <cell r="F331">
            <v>2.1091485759906101E-6</v>
          </cell>
          <cell r="G331">
            <v>9.2887145590625703E-4</v>
          </cell>
          <cell r="H331">
            <v>7.6457703260882602E-4</v>
          </cell>
          <cell r="I331">
            <v>7.06264182348163E-4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4.7884821580929007E-6</v>
          </cell>
          <cell r="E332">
            <v>5.1170639314579079E-6</v>
          </cell>
          <cell r="F332">
            <v>7.2514712063718126E-6</v>
          </cell>
          <cell r="G332">
            <v>9.3481149835733469E-4</v>
          </cell>
          <cell r="H332">
            <v>9.5907675053182452E-4</v>
          </cell>
          <cell r="I332">
            <v>1.0951625639868986E-3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7.0107178986830102E-5</v>
          </cell>
          <cell r="E333">
            <v>1.1636920897526134E-4</v>
          </cell>
          <cell r="F333">
            <v>1.4867938523069874E-4</v>
          </cell>
          <cell r="G333">
            <v>2.7921900615618264E-4</v>
          </cell>
          <cell r="H333">
            <v>5.9271605660890232E-4</v>
          </cell>
          <cell r="I333">
            <v>5.4908063518702378E-3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3.8316129960476979E-4</v>
          </cell>
          <cell r="E334">
            <v>6.2919003587867694E-4</v>
          </cell>
          <cell r="F334">
            <v>7.9245574579770188E-4</v>
          </cell>
          <cell r="G334">
            <v>1.3457078911246016E-3</v>
          </cell>
          <cell r="H334">
            <v>2.5214222295671172E-3</v>
          </cell>
          <cell r="I334">
            <v>2.0995171611643302E-2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4.0534762464904902E-7</v>
          </cell>
          <cell r="F335">
            <v>6.8381237424741305E-7</v>
          </cell>
          <cell r="G335">
            <v>4.2452338191226601E-6</v>
          </cell>
          <cell r="H335">
            <v>8.6062535890893096E-6</v>
          </cell>
          <cell r="I335">
            <v>1.1644272842007801E-4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1.5112905212469631E-6</v>
          </cell>
          <cell r="E336">
            <v>2.5877251413167796E-6</v>
          </cell>
          <cell r="F336">
            <v>3.2800447195405104E-6</v>
          </cell>
          <cell r="G336">
            <v>6.1511706466359601E-6</v>
          </cell>
          <cell r="H336">
            <v>1.29953873501583E-5</v>
          </cell>
          <cell r="I336">
            <v>1.1939055312921101E-4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9.0607121422490452E-6</v>
          </cell>
          <cell r="F337">
            <v>1.9392096533099548E-5</v>
          </cell>
          <cell r="G337">
            <v>1.9323679607985781E-5</v>
          </cell>
          <cell r="H337">
            <v>2.7838284871675816E-5</v>
          </cell>
          <cell r="I337">
            <v>9.2386629339113967E-6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7.1663407691734682E-5</v>
          </cell>
          <cell r="F338">
            <v>1.4962329542123767E-4</v>
          </cell>
          <cell r="G338">
            <v>1.388080269762524E-4</v>
          </cell>
          <cell r="H338">
            <v>1.7723257740353383E-4</v>
          </cell>
          <cell r="I338">
            <v>5.4038369634358569E-5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2.3147876617680601E-7</v>
          </cell>
          <cell r="F339">
            <v>2.22127906751693E-7</v>
          </cell>
          <cell r="G339">
            <v>2.9151250740468702E-7</v>
          </cell>
          <cell r="H339">
            <v>4.7871426445524499E-7</v>
          </cell>
          <cell r="I339">
            <v>1.9260012227915099E-7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2.3147876617680601E-7</v>
          </cell>
          <cell r="F340">
            <v>4.5360667292849898E-7</v>
          </cell>
          <cell r="G340">
            <v>4.8919307438569823E-7</v>
          </cell>
          <cell r="H340">
            <v>7.3200759656962274E-7</v>
          </cell>
          <cell r="I340">
            <v>2.7660903573698598E-7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1.382944016560027E-2</v>
          </cell>
          <cell r="E341">
            <v>2.5873780909427459E-2</v>
          </cell>
          <cell r="F341">
            <v>1.8477167649545014E-2</v>
          </cell>
          <cell r="G341">
            <v>1.6981282580350282E-2</v>
          </cell>
          <cell r="H341">
            <v>0.90018872611001965</v>
          </cell>
          <cell r="I341">
            <v>2.1356277848536522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7.6335232690240822E-3</v>
          </cell>
          <cell r="E342">
            <v>1.4281713956941845E-2</v>
          </cell>
          <cell r="F342">
            <v>1.0198958707620161E-2</v>
          </cell>
          <cell r="G342">
            <v>9.3732655959143738E-3</v>
          </cell>
          <cell r="H342">
            <v>0.451638990132401</v>
          </cell>
          <cell r="I342">
            <v>0.99241151594238441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5.5418884094270303E-5</v>
          </cell>
          <cell r="E343">
            <v>5.7876939173081199E-4</v>
          </cell>
          <cell r="F343">
            <v>1.09636632515803E-4</v>
          </cell>
          <cell r="G343">
            <v>8.7533316381071695E-5</v>
          </cell>
          <cell r="H343">
            <v>0.14118606342166901</v>
          </cell>
          <cell r="I343">
            <v>0.29618482071479502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1.526935879590854E-3</v>
          </cell>
          <cell r="E344">
            <v>2.765889744955413E-3</v>
          </cell>
          <cell r="F344">
            <v>2.7694044949961444E-3</v>
          </cell>
          <cell r="G344">
            <v>2.3531068723725308E-3</v>
          </cell>
          <cell r="H344">
            <v>0.13679847488629615</v>
          </cell>
          <cell r="I344">
            <v>0.32455954655037106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15.6332074717235</v>
          </cell>
          <cell r="E345">
            <v>9.5718230901641306</v>
          </cell>
          <cell r="F345">
            <v>11.791912851370199</v>
          </cell>
          <cell r="G345">
            <v>1.22351043463816</v>
          </cell>
          <cell r="H345">
            <v>1.3467486797652599</v>
          </cell>
          <cell r="I345">
            <v>1.21473096610785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0.29880618479438603</v>
          </cell>
          <cell r="E346">
            <v>0.18916600009735371</v>
          </cell>
          <cell r="F346">
            <v>0.23711909242323054</v>
          </cell>
          <cell r="G346">
            <v>2.7081133254532947E-2</v>
          </cell>
          <cell r="H346">
            <v>2.4050707675226785E-2</v>
          </cell>
          <cell r="I346">
            <v>2.1803430686745857E-2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0.27718452964048806</v>
          </cell>
          <cell r="E347">
            <v>0.16971317535751992</v>
          </cell>
          <cell r="F347">
            <v>0.2090764689959248</v>
          </cell>
          <cell r="G347">
            <v>2.1693447422662358E-2</v>
          </cell>
          <cell r="H347">
            <v>2.3878522690873295E-2</v>
          </cell>
          <cell r="I347">
            <v>2.1537783087018661E-2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2.2574784929956564E-2</v>
          </cell>
          <cell r="E348">
            <v>1.7954411263787103E-2</v>
          </cell>
          <cell r="F348">
            <v>2.2103756274836368E-2</v>
          </cell>
          <cell r="G348">
            <v>4.6990209028719464E-3</v>
          </cell>
          <cell r="H348">
            <v>1.9373139639666147E-4</v>
          </cell>
          <cell r="I348">
            <v>1.5748780739408292E-4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2.1019282951720824E-3</v>
          </cell>
          <cell r="F349">
            <v>6.6954072781231543E-3</v>
          </cell>
          <cell r="G349">
            <v>7.7548116697317624E-4</v>
          </cell>
          <cell r="H349">
            <v>5.60989839945663E-5</v>
          </cell>
          <cell r="I349">
            <v>1.776469591571519E-4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2.51056878110242E-7</v>
          </cell>
          <cell r="E350">
            <v>1.5840735961705501E-7</v>
          </cell>
          <cell r="F350">
            <v>1.8457525604536899E-7</v>
          </cell>
          <cell r="G350">
            <v>1.6087521708124701E-7</v>
          </cell>
          <cell r="H350">
            <v>3.25957967304726E-7</v>
          </cell>
          <cell r="I350">
            <v>7.0233826280096804E-7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0.95961794413852208</v>
          </cell>
          <cell r="E351">
            <v>0.95961810254588176</v>
          </cell>
          <cell r="F351">
            <v>0.95961828712113784</v>
          </cell>
          <cell r="G351">
            <v>0.95961844799635487</v>
          </cell>
          <cell r="H351">
            <v>0.95961908488524861</v>
          </cell>
          <cell r="I351">
            <v>0.48125544357745537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9.6821191524848832E-2</v>
          </cell>
          <cell r="E352">
            <v>0.1529852388636756</v>
          </cell>
          <cell r="F352">
            <v>0.10902900380942022</v>
          </cell>
          <cell r="G352">
            <v>0.15089260337025903</v>
          </cell>
          <cell r="H352">
            <v>14.736344100510754</v>
          </cell>
          <cell r="I352">
            <v>17.490726843207344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6.614380799580899E-2</v>
          </cell>
          <cell r="E353">
            <v>0.10451251535150662</v>
          </cell>
          <cell r="F353">
            <v>7.4483626780132831E-2</v>
          </cell>
          <cell r="G353">
            <v>0.10308292253094924</v>
          </cell>
          <cell r="H353">
            <v>9.3021723350903311</v>
          </cell>
          <cell r="I353">
            <v>10.171988784458053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7.5421422827244905E-5</v>
          </cell>
          <cell r="E354">
            <v>3.4672365192659897E-4</v>
          </cell>
          <cell r="F354">
            <v>2.40506559767756E-4</v>
          </cell>
          <cell r="G354">
            <v>2.26442865043734E-3</v>
          </cell>
          <cell r="H354">
            <v>0.90507382049089702</v>
          </cell>
          <cell r="I354">
            <v>1.39173913936369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7.3620739996568931E-3</v>
          </cell>
          <cell r="E355">
            <v>1.1607389807055543E-2</v>
          </cell>
          <cell r="F355">
            <v>1.1386331930706295E-2</v>
          </cell>
          <cell r="G355">
            <v>1.1448773984694818E-2</v>
          </cell>
          <cell r="H355">
            <v>1.5495149074884549</v>
          </cell>
          <cell r="I355">
            <v>1.8448425495129193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2.7879530693117369E-2</v>
          </cell>
          <cell r="E356">
            <v>2.4206458775681328E-2</v>
          </cell>
          <cell r="F356">
            <v>1.860124048719446E-2</v>
          </cell>
          <cell r="G356">
            <v>9.3165125426704805E-3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4.0450676521505823E-2</v>
          </cell>
          <cell r="E357">
            <v>3.4797071739861227E-2</v>
          </cell>
          <cell r="F357">
            <v>2.6374196150696465E-2</v>
          </cell>
          <cell r="G357">
            <v>1.3209631336682709E-2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6.1204161828624322E-2</v>
          </cell>
          <cell r="E359">
            <v>0.12844443128821365</v>
          </cell>
          <cell r="F359">
            <v>0.13558244544808681</v>
          </cell>
          <cell r="G359">
            <v>4.6428639554128717</v>
          </cell>
          <cell r="H359">
            <v>5.2985447649254125</v>
          </cell>
          <cell r="I359">
            <v>2.232817375098235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4.5761738473258311E-2</v>
          </cell>
          <cell r="E360">
            <v>9.6036614134443365E-2</v>
          </cell>
          <cell r="F360">
            <v>0.10137363579184634</v>
          </cell>
          <cell r="G360">
            <v>3.4714228533909028</v>
          </cell>
          <cell r="H360">
            <v>3.8294665381320749</v>
          </cell>
          <cell r="I360">
            <v>1.4605290700638267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5.9177299977607803E-5</v>
          </cell>
          <cell r="E361">
            <v>2.6870971538882201E-3</v>
          </cell>
          <cell r="F361">
            <v>8.6202446002085005E-4</v>
          </cell>
          <cell r="G361">
            <v>0.32864777249571597</v>
          </cell>
          <cell r="H361">
            <v>4.8609075854320303E-4</v>
          </cell>
          <cell r="I361">
            <v>9.7927809723334799E-2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4.2799174735788526E-3</v>
          </cell>
          <cell r="E362">
            <v>8.8374143197211368E-3</v>
          </cell>
          <cell r="F362">
            <v>9.3426919053758595E-3</v>
          </cell>
          <cell r="G362">
            <v>0.31923527802553747</v>
          </cell>
          <cell r="H362">
            <v>0.36434133061505558</v>
          </cell>
          <cell r="I362">
            <v>0.15354586902820364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0.19293665836682342</v>
          </cell>
          <cell r="E363">
            <v>1.3913930498392462</v>
          </cell>
          <cell r="F363">
            <v>3.2809791567606084</v>
          </cell>
          <cell r="G363">
            <v>7.9514261705734111</v>
          </cell>
          <cell r="H363">
            <v>15.41520063369385</v>
          </cell>
          <cell r="I363">
            <v>20.559421320003811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0.14898895170637527</v>
          </cell>
          <cell r="E364">
            <v>1.0744572527681562</v>
          </cell>
          <cell r="F364">
            <v>2.5336276126791595</v>
          </cell>
          <cell r="G364">
            <v>6.1402258116857746</v>
          </cell>
          <cell r="H364">
            <v>11.173071803441745</v>
          </cell>
          <cell r="I364">
            <v>13.405203816241279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1.4350963437986599E-4</v>
          </cell>
          <cell r="E365">
            <v>8.2591436699745294E-2</v>
          </cell>
          <cell r="F365">
            <v>0.15671430493487901</v>
          </cell>
          <cell r="G365">
            <v>0.42850017364915299</v>
          </cell>
          <cell r="H365">
            <v>0.620917551767734</v>
          </cell>
          <cell r="I365">
            <v>1.89552957846762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1.5345875216847157E-2</v>
          </cell>
          <cell r="E366">
            <v>0.10956658691639</v>
          </cell>
          <cell r="F366">
            <v>0.25837624732052789</v>
          </cell>
          <cell r="G366">
            <v>0.62610524351060415</v>
          </cell>
          <cell r="H366">
            <v>1.2140257276591939</v>
          </cell>
          <cell r="I366">
            <v>2.061020107346565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3.6315351546866097E-2</v>
          </cell>
          <cell r="F367">
            <v>9.8368280717482603E-2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7.7419641822500419E-5</v>
          </cell>
          <cell r="F368">
            <v>2.1608722176148765E-4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6.438892118238675E-4</v>
          </cell>
          <cell r="F369">
            <v>1.7441184524376347E-3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2.1194300074332901E-6</v>
          </cell>
          <cell r="F370">
            <v>2.79035522797211E-6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2.1194300074332901E-6</v>
          </cell>
          <cell r="F371">
            <v>4.9097852354053899E-6</v>
          </cell>
          <cell r="G371">
            <v>2.3932874206603538E-9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9.1542148074347921E-5</v>
          </cell>
          <cell r="F372">
            <v>1.9051375318024041E-4</v>
          </cell>
          <cell r="G372">
            <v>3.9740969549294507E-4</v>
          </cell>
          <cell r="H372">
            <v>7.1233418491194953E-3</v>
          </cell>
          <cell r="I372">
            <v>0.20029652161716649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1.9682105491414912E-4</v>
          </cell>
          <cell r="F373">
            <v>3.9840391143408177E-4</v>
          </cell>
          <cell r="G373">
            <v>7.8711811070070171E-4</v>
          </cell>
          <cell r="H373">
            <v>1.2387946759925402E-2</v>
          </cell>
          <cell r="I373">
            <v>0.33154596760105998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6.7349918677408101E-6</v>
          </cell>
          <cell r="F374">
            <v>8.2669819343625493E-6</v>
          </cell>
          <cell r="G374">
            <v>1.59129097659653E-5</v>
          </cell>
          <cell r="H374">
            <v>6.6029844573328299E-4</v>
          </cell>
          <cell r="I374">
            <v>1.3811432789947E-2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6.7349918677408101E-6</v>
          </cell>
          <cell r="F375">
            <v>1.50019738021034E-5</v>
          </cell>
          <cell r="G375">
            <v>3.00225279345485E-5</v>
          </cell>
          <cell r="H375">
            <v>6.9946445769747151E-4</v>
          </cell>
          <cell r="I375">
            <v>1.4148952964217455E-2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1.17532778380739E-2</v>
          </cell>
          <cell r="F376">
            <v>3.8299596240754297E-2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1.7712872441053015E-5</v>
          </cell>
          <cell r="F377">
            <v>5.9666988412727968E-5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2.0839145102967879E-4</v>
          </cell>
          <cell r="F378">
            <v>6.7907085533252263E-4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4.6681319305786699E-7</v>
          </cell>
          <cell r="F379">
            <v>8.8942972260182299E-7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4.6681319305786699E-7</v>
          </cell>
          <cell r="F380">
            <v>1.35624291565969E-6</v>
          </cell>
          <cell r="G380">
            <v>3.1048722893993009E-10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2.0585955068547813E-2</v>
          </cell>
          <cell r="E381">
            <v>16.552397945906261</v>
          </cell>
          <cell r="F381">
            <v>31.117822984400757</v>
          </cell>
          <cell r="G381">
            <v>2.9557767631213801E-3</v>
          </cell>
          <cell r="H381">
            <v>8.6263527548007907E-5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3.4802106602975921E-5</v>
          </cell>
          <cell r="E382">
            <v>2.9019733638281472E-2</v>
          </cell>
          <cell r="F382">
            <v>5.592674942186783E-2</v>
          </cell>
          <cell r="G382">
            <v>4.9969631072358977E-6</v>
          </cell>
          <cell r="H382">
            <v>1.9156311349101311E-7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2.8084522603748745E-4</v>
          </cell>
          <cell r="E383">
            <v>0.22581716160854395</v>
          </cell>
          <cell r="F383">
            <v>0.42452691656754071</v>
          </cell>
          <cell r="G383">
            <v>4.0324376031669577E-5</v>
          </cell>
          <cell r="H383">
            <v>1.1768557646385798E-6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5.4692488320748703E-4</v>
          </cell>
          <cell r="F384">
            <v>5.0750816097768696E-4</v>
          </cell>
          <cell r="H384">
            <v>1.58569672721642E-8</v>
          </cell>
          <cell r="I384">
            <v>1.19807589183023E-8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5.4775681007105943E-4</v>
          </cell>
          <cell r="F385">
            <v>1.0552649710487425E-3</v>
          </cell>
          <cell r="G385">
            <v>9.0889972487314882E-8</v>
          </cell>
          <cell r="H385">
            <v>3.1008730536707799E-8</v>
          </cell>
          <cell r="I385">
            <v>2.2592074161468999E-8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9.0600626600304702E-3</v>
          </cell>
          <cell r="F386">
            <v>2.4327682292236898E-2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9.0636181661597529E-6</v>
          </cell>
          <cell r="F387">
            <v>2.5071928516670202E-5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1.6063940886578847E-4</v>
          </cell>
          <cell r="F388">
            <v>4.3134188461412947E-4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2.3970132018825702E-7</v>
          </cell>
          <cell r="F389">
            <v>3.4582805518938498E-7</v>
          </cell>
          <cell r="H389">
            <v>1.08615501960876E-8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2.3970132018825702E-7</v>
          </cell>
          <cell r="F390">
            <v>5.85529375377642E-7</v>
          </cell>
          <cell r="G390">
            <v>5.4299619080919861E-9</v>
          </cell>
          <cell r="H390">
            <v>1.08615501960876E-8</v>
          </cell>
          <cell r="I390">
            <v>3.7203117147401799E-9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7.9944838852625395</v>
          </cell>
          <cell r="E391">
            <v>10.029376396633243</v>
          </cell>
          <cell r="F391">
            <v>16.355330396168419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9.5394857985544573E-3</v>
          </cell>
          <cell r="E392">
            <v>1.2016991372956514E-2</v>
          </cell>
          <cell r="F392">
            <v>2.022458319309637E-2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0.10906526446470043</v>
          </cell>
          <cell r="E393">
            <v>0.13682641741655224</v>
          </cell>
          <cell r="F393">
            <v>0.22312865479083777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1.06001313719003E-5</v>
          </cell>
          <cell r="F394">
            <v>1.5327515105591401E-4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1.8450141490176347E-4</v>
          </cell>
          <cell r="E395">
            <v>2.2838916987510675E-4</v>
          </cell>
          <cell r="F395">
            <v>3.8175067889368214E-4</v>
          </cell>
          <cell r="G395">
            <v>-8.3314525659862991E-9</v>
          </cell>
          <cell r="H395">
            <v>-3.1455504220539002E-9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1.63661910036265E-3</v>
          </cell>
          <cell r="F396">
            <v>4.6125994069083302E-3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1.0936665862823747E-6</v>
          </cell>
          <cell r="F397">
            <v>3.1718093936328483E-6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2.9018069155366044E-5</v>
          </cell>
          <cell r="F398">
            <v>8.1783677427452661E-5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4.5316362339611603E-8</v>
          </cell>
          <cell r="F399">
            <v>5.6076991375152401E-8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4.5316362339611603E-8</v>
          </cell>
          <cell r="F400">
            <v>1.01393353714764E-7</v>
          </cell>
          <cell r="G400">
            <v>-4.8622807656609577E-10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45.614457896533104</v>
          </cell>
          <cell r="E401">
            <v>63.823959185196806</v>
          </cell>
          <cell r="F401">
            <v>63.935539186564263</v>
          </cell>
          <cell r="H401">
            <v>1.9451039248552329E-3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3.6061886827645176E-2</v>
          </cell>
          <cell r="E402">
            <v>5.0596253701339813E-2</v>
          </cell>
          <cell r="F402">
            <v>5.0688928898041045E-2</v>
          </cell>
          <cell r="H402">
            <v>1.9357655010820053E-6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0.62229819776989237</v>
          </cell>
          <cell r="E403">
            <v>0.87072249911591748</v>
          </cell>
          <cell r="F403">
            <v>0.87224473651520151</v>
          </cell>
          <cell r="H403">
            <v>2.653620634181763E-5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2.48564299445378E-6</v>
          </cell>
          <cell r="F404">
            <v>1.01779547732446E-6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8.0672534871057571E-4</v>
          </cell>
          <cell r="E405">
            <v>9.5495538713205824E-4</v>
          </cell>
          <cell r="F405">
            <v>9.5605969726221432E-4</v>
          </cell>
          <cell r="G405">
            <v>-9.3287217570420071E-9</v>
          </cell>
          <cell r="H405">
            <v>-1.8487769665014099E-8</v>
          </cell>
          <cell r="I405">
            <v>-4.4352851387848598E-9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0.31137116254870867</v>
          </cell>
          <cell r="E406">
            <v>1.7739010817571229E-2</v>
          </cell>
          <cell r="F406">
            <v>2.7440402761202954E-2</v>
          </cell>
          <cell r="H406">
            <v>2.3272134674553299E-3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1.6416643708297755E-4</v>
          </cell>
          <cell r="E407">
            <v>9.412635146082837E-6</v>
          </cell>
          <cell r="F407">
            <v>1.4671446905418382E-5</v>
          </cell>
          <cell r="H407">
            <v>1.5962257873547227E-6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4.2479012626017599E-3</v>
          </cell>
          <cell r="E408">
            <v>2.4200560460533769E-4</v>
          </cell>
          <cell r="F408">
            <v>3.7435747286770703E-4</v>
          </cell>
          <cell r="H408">
            <v>3.1749160538271882E-5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3.3244909536372799E-8</v>
          </cell>
          <cell r="F409">
            <v>3.4319529550545797E-8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3.614822522567019E-6</v>
          </cell>
          <cell r="E410">
            <v>3.1744215797237271E-7</v>
          </cell>
          <cell r="F410">
            <v>3.3194349751966898E-7</v>
          </cell>
          <cell r="G410">
            <v>-5.2376625058917001E-9</v>
          </cell>
          <cell r="I410">
            <v>-5.7328452680688897E-9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7.8146569390998791E-3</v>
          </cell>
          <cell r="E411">
            <v>7.8187057693019004E-3</v>
          </cell>
          <cell r="F411">
            <v>7.7318704276887404E-3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1.3786841673237046E-3</v>
          </cell>
          <cell r="E412">
            <v>1.1058197420813643E-3</v>
          </cell>
          <cell r="F412">
            <v>6.877278881695524E-4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1.3855774714716112E-4</v>
          </cell>
          <cell r="E413">
            <v>1.3862953491670032E-4</v>
          </cell>
          <cell r="F413">
            <v>1.3708990120015499E-4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1.2708548550255501</v>
          </cell>
          <cell r="E415">
            <v>1.26941935016247</v>
          </cell>
          <cell r="F415">
            <v>1.26439251123178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0.24218507100703562</v>
          </cell>
          <cell r="E416">
            <v>0.19378295184576452</v>
          </cell>
          <cell r="F416">
            <v>0.12110862544906456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1.7337719713854765E-2</v>
          </cell>
          <cell r="E417">
            <v>1.7318135745736308E-2</v>
          </cell>
          <cell r="F417">
            <v>1.7249556769874171E-2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2.2837880061461757E-3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3.5255233290689171E-2</v>
          </cell>
          <cell r="E419">
            <v>7.8555737263324155E-2</v>
          </cell>
          <cell r="F419">
            <v>0.1180982481956266</v>
          </cell>
          <cell r="G419">
            <v>1.7273982941813046</v>
          </cell>
          <cell r="H419">
            <v>5.0470837503623747</v>
          </cell>
          <cell r="I419">
            <v>5.5854850451350551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3.5255233290689171E-2</v>
          </cell>
          <cell r="E420">
            <v>7.8555737263324155E-2</v>
          </cell>
          <cell r="F420">
            <v>0.1180982481956266</v>
          </cell>
          <cell r="G420">
            <v>1.7273982941813046</v>
          </cell>
          <cell r="H420">
            <v>5.0470837503623747</v>
          </cell>
          <cell r="I420">
            <v>5.5854850451350551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3.7337848967275902E-3</v>
          </cell>
          <cell r="E421">
            <v>4.5732838772291201E-3</v>
          </cell>
          <cell r="F421">
            <v>4.1949662215001998E-3</v>
          </cell>
          <cell r="G421">
            <v>0.17169129240586001</v>
          </cell>
          <cell r="H421">
            <v>0.296992716534285</v>
          </cell>
          <cell r="I421">
            <v>0.40527560595555601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3.7337848967275902E-3</v>
          </cell>
          <cell r="E422">
            <v>8.3070687739567103E-3</v>
          </cell>
          <cell r="F422">
            <v>1.25020349954569E-2</v>
          </cell>
          <cell r="G422">
            <v>0.18258560159385201</v>
          </cell>
          <cell r="H422">
            <v>0.53347451805198998</v>
          </cell>
          <cell r="I422">
            <v>0.59038223258677103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2.3492694920852146E-4</v>
          </cell>
          <cell r="H423">
            <v>1.4911985622229488E-4</v>
          </cell>
          <cell r="I423">
            <v>1.3030200819226691E-4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1.0022405440137134E-3</v>
          </cell>
          <cell r="H424">
            <v>5.8245220191556132E-4</v>
          </cell>
          <cell r="I424">
            <v>4.5355836634388216E-4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5.5890628845118298E-6</v>
          </cell>
          <cell r="H425">
            <v>1.46856083216771E-6</v>
          </cell>
          <cell r="I425">
            <v>1.9289562528188998E-6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5.5890628845118298E-6</v>
          </cell>
          <cell r="H426">
            <v>4.0299691856129976E-6</v>
          </cell>
          <cell r="I426">
            <v>3.0587343424285702E-6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8.1436687271525956E-5</v>
          </cell>
          <cell r="H427">
            <v>1.3409533437664059E-4</v>
          </cell>
          <cell r="I427">
            <v>1.5148097095913425E-4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4.8158461210275657E-4</v>
          </cell>
          <cell r="H428">
            <v>7.2177012076456029E-4</v>
          </cell>
          <cell r="I428">
            <v>7.2039720160259227E-4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1.8195278770353701E-6</v>
          </cell>
          <cell r="H429">
            <v>1.4021295507026E-6</v>
          </cell>
          <cell r="I429">
            <v>2.4476855375429501E-6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1.8195278770353701E-6</v>
          </cell>
          <cell r="H430">
            <v>3.068033809804391E-6</v>
          </cell>
          <cell r="I430">
            <v>3.3948685546677499E-6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3.9501635496542657E-5</v>
          </cell>
          <cell r="H431">
            <v>5.2087183359301278E-5</v>
          </cell>
          <cell r="I431">
            <v>3.4594688166375174E-3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3.4923700193051794E-4</v>
          </cell>
          <cell r="H432">
            <v>4.1240721602656648E-4</v>
          </cell>
          <cell r="I432">
            <v>2.3608642151615251E-2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8.7749508485438998E-7</v>
          </cell>
          <cell r="H433">
            <v>7.04270613062923E-7</v>
          </cell>
          <cell r="I433">
            <v>7.5541443930980898E-5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8.7749508485438998E-7</v>
          </cell>
          <cell r="H434">
            <v>1.1972115694424901E-6</v>
          </cell>
          <cell r="I434">
            <v>7.5782671579412606E-5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92.551509786012701</v>
          </cell>
          <cell r="E435">
            <v>91.724609116463199</v>
          </cell>
          <cell r="F435">
            <v>68.277515828778903</v>
          </cell>
          <cell r="G435">
            <v>32.395599134099797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0.61926158381074159</v>
          </cell>
          <cell r="E436">
            <v>0.62769487703644489</v>
          </cell>
          <cell r="F436">
            <v>0.48283444601963066</v>
          </cell>
          <cell r="G436">
            <v>0.24142168621400592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1.2540854984554555</v>
          </cell>
          <cell r="E437">
            <v>1.2428808823368993</v>
          </cell>
          <cell r="F437">
            <v>0.92516959117586606</v>
          </cell>
          <cell r="G437">
            <v>0.43896475791463124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4.3894653575950265E-2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1.7913204974878756E-6</v>
          </cell>
          <cell r="H439">
            <v>3.9799419610045145E-6</v>
          </cell>
          <cell r="I439">
            <v>9.7717831935641702E-7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2.3602102242127517E-5</v>
          </cell>
          <cell r="H440">
            <v>4.6888327533673207E-5</v>
          </cell>
          <cell r="I440">
            <v>9.9824871277727051E-6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5.8573163657486197E-8</v>
          </cell>
          <cell r="H441">
            <v>6.04357401088513E-8</v>
          </cell>
          <cell r="I441">
            <v>3.4408705233139098E-8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5.8573163657486197E-8</v>
          </cell>
          <cell r="H442">
            <v>1.05455316509491E-7</v>
          </cell>
          <cell r="I442">
            <v>4.50144908500399E-8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2.6481713955630801</v>
          </cell>
          <cell r="E446">
            <v>3.4704924262531902</v>
          </cell>
          <cell r="F446">
            <v>3.12500465825718</v>
          </cell>
          <cell r="G446">
            <v>3.2603345308407201</v>
          </cell>
          <cell r="H446">
            <v>1.7264111189770099</v>
          </cell>
          <cell r="I446">
            <v>1.36128740521823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3.7412531184122302</v>
          </cell>
          <cell r="E447">
            <v>7.2117455446654199</v>
          </cell>
          <cell r="F447">
            <v>8.6677456308700016</v>
          </cell>
          <cell r="G447">
            <v>8.5799329902305104</v>
          </cell>
          <cell r="H447">
            <v>4.8472205001165634</v>
          </cell>
          <cell r="I447">
            <v>2.5755383241423897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36.677403040670725</v>
          </cell>
          <cell r="E448">
            <v>40.644044720220521</v>
          </cell>
          <cell r="F448">
            <v>28.785365309925805</v>
          </cell>
          <cell r="G448">
            <v>22.112557637190282</v>
          </cell>
          <cell r="H448">
            <v>0.22071693581180757</v>
          </cell>
          <cell r="I448">
            <v>2.11117730379103E-2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0.33921331000104527</v>
          </cell>
          <cell r="E449">
            <v>0.37234874462798206</v>
          </cell>
          <cell r="F449">
            <v>0.26344772060617438</v>
          </cell>
          <cell r="G449">
            <v>0.2041835746288766</v>
          </cell>
          <cell r="H449">
            <v>1.791958043234954E-3</v>
          </cell>
          <cell r="I449">
            <v>1.796966631498285E-4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0.49698378103889851</v>
          </cell>
          <cell r="E450">
            <v>0.5507323132821198</v>
          </cell>
          <cell r="F450">
            <v>0.39004560040549718</v>
          </cell>
          <cell r="G450">
            <v>0.29962815226545036</v>
          </cell>
          <cell r="H450">
            <v>2.9907443876938705E-3</v>
          </cell>
          <cell r="I450">
            <v>2.8606738533753725E-4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2.7837931512020501E-5</v>
          </cell>
          <cell r="F451">
            <v>6.8984994976364303E-4</v>
          </cell>
          <cell r="G451">
            <v>3.0925125057859598E-4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3.6541790395738703E-2</v>
          </cell>
          <cell r="E452">
            <v>3.9782316122758232E-2</v>
          </cell>
          <cell r="F452">
            <v>3.9998727205475329E-2</v>
          </cell>
          <cell r="G452">
            <v>3.0998941586308591E-2</v>
          </cell>
          <cell r="H452">
            <v>2.6682315531978776E-4</v>
          </cell>
          <cell r="I452">
            <v>2.6608775360770448E-5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2.1785585830089467</v>
          </cell>
          <cell r="H453">
            <v>1.3366845682141129</v>
          </cell>
          <cell r="I453">
            <v>2.4544568268188538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1.9676712103426745E-3</v>
          </cell>
          <cell r="H454">
            <v>4.196147594126504E-3</v>
          </cell>
          <cell r="I454">
            <v>1.0275863930103715E-3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2.002889057355709E-3</v>
          </cell>
          <cell r="H455">
            <v>4.5010501451873929E-3</v>
          </cell>
          <cell r="I455">
            <v>1.4700689088888246E-3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3.1769316747406404E-4</v>
          </cell>
          <cell r="H456">
            <v>3.3661480424129899E-4</v>
          </cell>
          <cell r="I456">
            <v>8.1673604542787596E-4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3.183033502985974E-4</v>
          </cell>
          <cell r="H457">
            <v>4.4497139475160495E-4</v>
          </cell>
          <cell r="I457">
            <v>2.691501644683284E-4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8.9188650652243535E-3</v>
          </cell>
          <cell r="H458">
            <v>0.37295580598193828</v>
          </cell>
          <cell r="I458">
            <v>0.68901800427681559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6.8207088674698494E-3</v>
          </cell>
          <cell r="H459">
            <v>0.18919265888644207</v>
          </cell>
          <cell r="I459">
            <v>0.40238619541391613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0.71796815314184392</v>
          </cell>
          <cell r="H460">
            <v>0.23887427304832548</v>
          </cell>
          <cell r="I460">
            <v>0.54578113818518248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1.0968018897412157</v>
          </cell>
          <cell r="H461">
            <v>0.22596802355454967</v>
          </cell>
          <cell r="I461">
            <v>0.41098138747164725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5.5569735631602201E-4</v>
          </cell>
          <cell r="H462">
            <v>1.7264047196523275E-3</v>
          </cell>
          <cell r="I462">
            <v>1.5580165874978008E-3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6.0333846609735822E-4</v>
          </cell>
          <cell r="H463">
            <v>7.1142692145830921E-4</v>
          </cell>
          <cell r="I463">
            <v>6.0204825575912448E-4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0.31316962838744938</v>
          </cell>
          <cell r="H464">
            <v>0.25600656518800829</v>
          </cell>
          <cell r="I464">
            <v>0.35246579449731091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2.8816518403703899E-3</v>
          </cell>
          <cell r="H465">
            <v>4.694980070636086E-3</v>
          </cell>
          <cell r="I465">
            <v>1.4372746860814162E-3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1.7304475057537233E-4</v>
          </cell>
          <cell r="H466">
            <v>6.503886440693149E-3</v>
          </cell>
          <cell r="I466">
            <v>8.3297305501658751E-3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4.1327449148691794E-3</v>
          </cell>
          <cell r="H467">
            <v>5.7124218799213724E-3</v>
          </cell>
          <cell r="I467">
            <v>3.7568874533208362E-3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5.2016412484845523E-3</v>
          </cell>
          <cell r="H468">
            <v>1.0241151665954278E-2</v>
          </cell>
          <cell r="I468">
            <v>5.8390150011814902E-3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5.3024669740797071E-3</v>
          </cell>
          <cell r="H469">
            <v>1.1490301140679804E-2</v>
          </cell>
          <cell r="I469">
            <v>8.9896028045886971E-3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2.3513578187088209E-4</v>
          </cell>
          <cell r="H470">
            <v>3.0172100364151696E-4</v>
          </cell>
          <cell r="I470">
            <v>2.4305809753000617E-4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1.9545115823939237E-4</v>
          </cell>
          <cell r="H471">
            <v>2.807092165286279E-4</v>
          </cell>
          <cell r="I471">
            <v>2.1300827152349267E-4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8.7052465180332831E-5</v>
          </cell>
          <cell r="H472">
            <v>1.2299678831374905E-4</v>
          </cell>
          <cell r="I472">
            <v>1.0239113203177483E-4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1.7201812168290056E-4</v>
          </cell>
          <cell r="H473">
            <v>2.6837892459370476E-4</v>
          </cell>
          <cell r="I473">
            <v>2.0698211798792323E-4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1.0324953046564769E-3</v>
          </cell>
          <cell r="H474">
            <v>9.0048378468319005E-4</v>
          </cell>
          <cell r="I474">
            <v>5.2125394622257984E-4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9.7935947031940109E-3</v>
          </cell>
          <cell r="H475">
            <v>1.3389997671383498E-3</v>
          </cell>
          <cell r="I475">
            <v>1.8513059756761475E-2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0.45333902026061901</v>
          </cell>
          <cell r="H476">
            <v>0.86297510530321297</v>
          </cell>
          <cell r="I476">
            <v>2.3617599124851201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0.45333902026061901</v>
          </cell>
          <cell r="H477">
            <v>1.6376654204144681</v>
          </cell>
          <cell r="I477">
            <v>3.1847704002032327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3.86954828061122</v>
          </cell>
          <cell r="F478">
            <v>7.0841625054989201</v>
          </cell>
          <cell r="G478">
            <v>16.150004531317698</v>
          </cell>
          <cell r="H478">
            <v>1.31009336035967E-4</v>
          </cell>
          <cell r="I478">
            <v>6.3762949532341796E-5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1.5682750740803169</v>
          </cell>
          <cell r="F479">
            <v>2.8711143194092581</v>
          </cell>
          <cell r="G479">
            <v>6.5453762858203763</v>
          </cell>
          <cell r="H479">
            <v>5.3096294781096296E-5</v>
          </cell>
          <cell r="I479">
            <v>2.5842252673900504E-5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1.3603383057388299E-5</v>
          </cell>
          <cell r="E480">
            <v>3.86953661936055</v>
          </cell>
          <cell r="F480">
            <v>3.21461030871084</v>
          </cell>
          <cell r="G480">
            <v>9.0658450627441294</v>
          </cell>
          <cell r="H480">
            <v>3.2134820599758999E-7</v>
          </cell>
          <cell r="I480">
            <v>1.9925126824844599E-7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1.3603383057388299E-5</v>
          </cell>
          <cell r="E481">
            <v>3.86955022274361</v>
          </cell>
          <cell r="F481">
            <v>7.0841591934191843</v>
          </cell>
          <cell r="G481">
            <v>16.150002525043718</v>
          </cell>
          <cell r="H481">
            <v>-5.8041599970692914E-8</v>
          </cell>
          <cell r="I481">
            <v>1.1732752991377993E-7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33.70806554181776</v>
          </cell>
          <cell r="E482">
            <v>42.665126647371714</v>
          </cell>
          <cell r="F482">
            <v>60.53108508391</v>
          </cell>
          <cell r="G482">
            <v>100.53638125456716</v>
          </cell>
          <cell r="H482">
            <v>85.692694878916996</v>
          </cell>
          <cell r="I482">
            <v>13.17377389781249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0.16042372339822639</v>
          </cell>
          <cell r="E483">
            <v>0.20305224776358294</v>
          </cell>
          <cell r="F483">
            <v>0.28808007503274974</v>
          </cell>
          <cell r="G483">
            <v>0.47847363408714855</v>
          </cell>
          <cell r="H483">
            <v>0.40782943071739047</v>
          </cell>
          <cell r="I483">
            <v>6.2696741148542581E-2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0.45674885558018585</v>
          </cell>
          <cell r="E484">
            <v>0.57811824725435934</v>
          </cell>
          <cell r="F484">
            <v>0.82020440493103164</v>
          </cell>
          <cell r="G484">
            <v>1.3622815888152715</v>
          </cell>
          <cell r="H484">
            <v>1.161147627085596</v>
          </cell>
          <cell r="I484">
            <v>0.17850642137957326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4.5236242906452899E-5</v>
          </cell>
          <cell r="F485">
            <v>1.23815907232654E-2</v>
          </cell>
          <cell r="G485">
            <v>2.7487734648246401E-2</v>
          </cell>
          <cell r="I485">
            <v>2.4277419949985598E-5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1.2434896091578787E-2</v>
          </cell>
          <cell r="E486">
            <v>1.4167187399082667E-2</v>
          </cell>
          <cell r="F486">
            <v>2.6548778345920385E-2</v>
          </cell>
          <cell r="G486">
            <v>4.7608233264194277E-2</v>
          </cell>
          <cell r="H486">
            <v>4.0282610478567848E-2</v>
          </cell>
          <cell r="I486">
            <v>6.2390139021301048E-3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278.99981433834859</v>
          </cell>
          <cell r="E487">
            <v>391.65330643070354</v>
          </cell>
          <cell r="F487">
            <v>278.00769630285362</v>
          </cell>
          <cell r="G487">
            <v>302.93050725232018</v>
          </cell>
          <cell r="H487">
            <v>0.22367941068049652</v>
          </cell>
          <cell r="I487">
            <v>4.3582094216526597E-2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2.2922463723509376</v>
          </cell>
          <cell r="E488">
            <v>3.2078348562620902</v>
          </cell>
          <cell r="F488">
            <v>2.2774088042451597</v>
          </cell>
          <cell r="G488">
            <v>2.5012259189656652</v>
          </cell>
          <cell r="H488">
            <v>1.5028219195238641E-3</v>
          </cell>
          <cell r="I488">
            <v>2.9795448406499036E-4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3.7804852891375127</v>
          </cell>
          <cell r="E489">
            <v>5.3069553716897504</v>
          </cell>
          <cell r="F489">
            <v>3.767041955323216</v>
          </cell>
          <cell r="G489">
            <v>4.1047494207631532</v>
          </cell>
          <cell r="H489">
            <v>3.03088632358396E-3</v>
          </cell>
          <cell r="I489">
            <v>5.905432820667569E-4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1.7956652674807099E-5</v>
          </cell>
          <cell r="F490">
            <v>7.4020281043680596E-5</v>
          </cell>
          <cell r="G490">
            <v>9.2132461044455995E-5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0.21742929260627972</v>
          </cell>
          <cell r="E491">
            <v>0.24338824190971134</v>
          </cell>
          <cell r="F491">
            <v>0.24011726534306452</v>
          </cell>
          <cell r="G491">
            <v>0.18977892900742574</v>
          </cell>
          <cell r="H491">
            <v>1.4437722348850451E-4</v>
          </cell>
          <cell r="I491">
            <v>3.0156921741356693E-5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0.37239422732698341</v>
          </cell>
          <cell r="E492">
            <v>0.45176909151696165</v>
          </cell>
          <cell r="F492">
            <v>0.3631701686229209</v>
          </cell>
          <cell r="G492">
            <v>0.31544247632676681</v>
          </cell>
          <cell r="H492">
            <v>6.2811325075891988E-2</v>
          </cell>
          <cell r="I492">
            <v>1.06407323102793E-2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3.8107951685397842E-3</v>
          </cell>
          <cell r="E493">
            <v>4.7698289356942125E-3</v>
          </cell>
          <cell r="F493">
            <v>3.8661291012552341E-3</v>
          </cell>
          <cell r="G493">
            <v>3.3187380635632409E-3</v>
          </cell>
          <cell r="H493">
            <v>5.528129072029437E-4</v>
          </cell>
          <cell r="I493">
            <v>9.454393843699133E-5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5.0804123782671583E-3</v>
          </cell>
          <cell r="E494">
            <v>6.1632891066434039E-3</v>
          </cell>
          <cell r="F494">
            <v>4.9545725596578521E-3</v>
          </cell>
          <cell r="G494">
            <v>4.303444424648928E-3</v>
          </cell>
          <cell r="H494">
            <v>8.5690757265882657E-4</v>
          </cell>
          <cell r="I494">
            <v>1.4516688008566609E-4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3.9938713804717797E-5</v>
          </cell>
          <cell r="F495">
            <v>6.1193872699475194E-5</v>
          </cell>
          <cell r="G495">
            <v>7.3126069234665395E-5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4.4455879706935427E-4</v>
          </cell>
          <cell r="E496">
            <v>5.1233921133539092E-4</v>
          </cell>
          <cell r="F496">
            <v>5.6717214415347259E-4</v>
          </cell>
          <cell r="G496">
            <v>4.8354268417094326E-4</v>
          </cell>
          <cell r="H496">
            <v>8.0004268939575025E-5</v>
          </cell>
          <cell r="I496">
            <v>1.3744257395003324E-5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279.65676779964167</v>
          </cell>
          <cell r="E497">
            <v>423.62794946222652</v>
          </cell>
          <cell r="F497">
            <v>417.73136366826384</v>
          </cell>
          <cell r="G497">
            <v>336.66819862179636</v>
          </cell>
          <cell r="H497">
            <v>0.32130358723964925</v>
          </cell>
          <cell r="I497">
            <v>4.6396719022599002E-2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1.9580237429231857</v>
          </cell>
          <cell r="E498">
            <v>2.9621098810075934</v>
          </cell>
          <cell r="F498">
            <v>2.9205685397377708</v>
          </cell>
          <cell r="G498">
            <v>2.3731226614480847</v>
          </cell>
          <cell r="H498">
            <v>2.014032112291779E-3</v>
          </cell>
          <cell r="I498">
            <v>2.9482147485193697E-4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3.789387097556125</v>
          </cell>
          <cell r="E499">
            <v>5.7402161173743327</v>
          </cell>
          <cell r="F499">
            <v>5.6603165808707843</v>
          </cell>
          <cell r="G499">
            <v>4.5618997103224483</v>
          </cell>
          <cell r="H499">
            <v>4.3537071441686814E-3</v>
          </cell>
          <cell r="I499">
            <v>6.286818295745117E-4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2.1301071456157101E-5</v>
          </cell>
          <cell r="F500">
            <v>3.1105760625289701E-4</v>
          </cell>
          <cell r="G500">
            <v>8.6070168213532494E-5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0.1820115945580516</v>
          </cell>
          <cell r="E501">
            <v>0.20367414042064069</v>
          </cell>
          <cell r="F501">
            <v>0.20084617514864911</v>
          </cell>
          <cell r="G501">
            <v>0.16318408643762328</v>
          </cell>
          <cell r="H501">
            <v>1.5089627096903169E-4</v>
          </cell>
          <cell r="I501">
            <v>2.6947744484353429E-5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88.198793212888233</v>
          </cell>
          <cell r="E502">
            <v>94.066370944467153</v>
          </cell>
          <cell r="F502">
            <v>67.235021699837077</v>
          </cell>
          <cell r="G502">
            <v>67.87244958797595</v>
          </cell>
          <cell r="H502">
            <v>8.791900928212136E-2</v>
          </cell>
          <cell r="I502">
            <v>1.65825078872717E-2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0.84180720485952543</v>
          </cell>
          <cell r="E503">
            <v>0.90313613923616065</v>
          </cell>
          <cell r="F503">
            <v>0.64472650933648123</v>
          </cell>
          <cell r="G503">
            <v>0.67928212252942721</v>
          </cell>
          <cell r="H503">
            <v>6.2312809860398243E-4</v>
          </cell>
          <cell r="I503">
            <v>1.1823251743420027E-4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1.2032577518811489</v>
          </cell>
          <cell r="E504">
            <v>1.2833065613160628</v>
          </cell>
          <cell r="F504">
            <v>0.9172581405161937</v>
          </cell>
          <cell r="G504">
            <v>0.92595429178684641</v>
          </cell>
          <cell r="H504">
            <v>1.1994407814750526E-3</v>
          </cell>
          <cell r="I504">
            <v>2.2622793843481132E-4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1.9585496648606301E-5</v>
          </cell>
          <cell r="F505">
            <v>3.3163907782623297E-5</v>
          </cell>
          <cell r="G505">
            <v>3.93591297851318E-5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6.4569147750255115E-2</v>
          </cell>
          <cell r="E506">
            <v>6.8523538370846571E-2</v>
          </cell>
          <cell r="F506">
            <v>6.7934806234345224E-2</v>
          </cell>
          <cell r="G506">
            <v>5.1542069243671967E-2</v>
          </cell>
          <cell r="H506">
            <v>5.7043141976517764E-5</v>
          </cell>
          <cell r="I506">
            <v>1.1482556964844421E-5</v>
          </cell>
        </row>
        <row r="507">
          <cell r="A507" t="str">
            <v>T_C-ICE-GSL-S4</v>
          </cell>
          <cell r="B507" t="str">
            <v>VAR_fout</v>
          </cell>
          <cell r="C507" t="str">
            <v>CO2_T</v>
          </cell>
          <cell r="D507">
            <v>288.53314078013216</v>
          </cell>
          <cell r="E507">
            <v>387.75560111421936</v>
          </cell>
          <cell r="F507">
            <v>583.26899722291819</v>
          </cell>
          <cell r="G507">
            <v>1416.7834590944669</v>
          </cell>
          <cell r="H507">
            <v>1172.3982449334376</v>
          </cell>
          <cell r="I507">
            <v>242.47216227878701</v>
          </cell>
        </row>
        <row r="508">
          <cell r="A508" t="str">
            <v>T_C-ICE-GSL-S4</v>
          </cell>
          <cell r="B508" t="str">
            <v>VAR_fout</v>
          </cell>
          <cell r="C508" t="str">
            <v>TPCAR</v>
          </cell>
          <cell r="D508">
            <v>1.7210690625389342</v>
          </cell>
          <cell r="E508">
            <v>2.2766234246236574</v>
          </cell>
          <cell r="F508">
            <v>3.4281070032410508</v>
          </cell>
          <cell r="G508">
            <v>8.3901592273799803</v>
          </cell>
          <cell r="H508">
            <v>7.3809457355203723</v>
          </cell>
          <cell r="I508">
            <v>1.5550384310378682</v>
          </cell>
        </row>
        <row r="509">
          <cell r="A509" t="str">
            <v>T_C-ICE-GSL-S4</v>
          </cell>
          <cell r="B509" t="str">
            <v>VAR_fin</v>
          </cell>
          <cell r="C509" t="str">
            <v>TGSL</v>
          </cell>
          <cell r="D509">
            <v>3.9096631542023377</v>
          </cell>
          <cell r="E509">
            <v>5.2541409365070226</v>
          </cell>
          <cell r="F509">
            <v>7.9033739461100181</v>
          </cell>
          <cell r="G509">
            <v>19.197607846808474</v>
          </cell>
          <cell r="H509">
            <v>15.886155080398874</v>
          </cell>
          <cell r="I509">
            <v>3.2855306541841021</v>
          </cell>
        </row>
        <row r="510">
          <cell r="A510" t="str">
            <v>T_C-ICE-GSL-S4</v>
          </cell>
          <cell r="B510" t="str">
            <v>VAR_ncap</v>
          </cell>
          <cell r="C510" t="str">
            <v>-</v>
          </cell>
          <cell r="E510">
            <v>1.8120917769164E-5</v>
          </cell>
          <cell r="F510">
            <v>9.4876921471297795E-2</v>
          </cell>
          <cell r="G510">
            <v>0.46051573683734598</v>
          </cell>
        </row>
        <row r="511">
          <cell r="A511" t="str">
            <v>T_C-ICE-GSL-S4</v>
          </cell>
          <cell r="B511" t="str">
            <v>VAR_cap</v>
          </cell>
          <cell r="C511" t="str">
            <v>-</v>
          </cell>
          <cell r="D511">
            <v>0.15707443751017747</v>
          </cell>
          <cell r="E511">
            <v>0.17927593767035599</v>
          </cell>
          <cell r="F511">
            <v>0.26998843020016011</v>
          </cell>
          <cell r="G511">
            <v>0.66067267120811934</v>
          </cell>
          <cell r="H511">
            <v>0.78119188015724694</v>
          </cell>
          <cell r="I511">
            <v>0.17491675691213335</v>
          </cell>
        </row>
        <row r="512">
          <cell r="A512" t="str">
            <v>T_C-ICE-DSL-S3</v>
          </cell>
          <cell r="B512" t="str">
            <v>VAR_fout</v>
          </cell>
          <cell r="C512" t="str">
            <v>CO2_T</v>
          </cell>
          <cell r="D512">
            <v>368.06671992773357</v>
          </cell>
          <cell r="E512">
            <v>390.46061923142753</v>
          </cell>
          <cell r="F512">
            <v>386.73557719640297</v>
          </cell>
          <cell r="G512">
            <v>295.43813251901804</v>
          </cell>
          <cell r="H512">
            <v>9.7733826669888182E-2</v>
          </cell>
          <cell r="I512">
            <v>1.7114682414547201E-2</v>
          </cell>
        </row>
        <row r="513">
          <cell r="A513" t="str">
            <v>T_C-ICE-DSL-S3</v>
          </cell>
          <cell r="B513" t="str">
            <v>VAR_fout</v>
          </cell>
          <cell r="C513" t="str">
            <v>TPCAR</v>
          </cell>
          <cell r="D513">
            <v>2.6521142157244091</v>
          </cell>
          <cell r="E513">
            <v>2.836154267494404</v>
          </cell>
          <cell r="F513">
            <v>2.8066420823727625</v>
          </cell>
          <cell r="G513">
            <v>2.1813435718474841</v>
          </cell>
          <cell r="H513">
            <v>6.4055124319065528E-4</v>
          </cell>
          <cell r="I513">
            <v>1.1342313032584464E-4</v>
          </cell>
        </row>
        <row r="514">
          <cell r="A514" t="str">
            <v>T_C-ICE-DSL-S3</v>
          </cell>
          <cell r="B514" t="str">
            <v>VAR_fin</v>
          </cell>
          <cell r="C514" t="str">
            <v>TDSL</v>
          </cell>
          <cell r="D514">
            <v>5.0213740781409753</v>
          </cell>
          <cell r="E514">
            <v>5.3268843005651734</v>
          </cell>
          <cell r="F514">
            <v>5.2760651732115145</v>
          </cell>
          <cell r="G514">
            <v>4.030533867926585</v>
          </cell>
          <cell r="H514">
            <v>1.3333400637092535E-3</v>
          </cell>
          <cell r="I514">
            <v>2.3348816390923808E-4</v>
          </cell>
        </row>
        <row r="515">
          <cell r="A515" t="str">
            <v>T_C-ICE-DSL-S3</v>
          </cell>
          <cell r="B515" t="str">
            <v>VAR_ncap</v>
          </cell>
          <cell r="C515" t="str">
            <v>-</v>
          </cell>
          <cell r="E515">
            <v>1.8622936089956101E-5</v>
          </cell>
          <cell r="F515">
            <v>3.65241627320223E-5</v>
          </cell>
          <cell r="G515">
            <v>3.3373562808437103E-5</v>
          </cell>
        </row>
        <row r="516">
          <cell r="A516" t="str">
            <v>T_C-ICE-DSL-S3</v>
          </cell>
          <cell r="B516" t="str">
            <v>VAR_cap</v>
          </cell>
          <cell r="C516" t="str">
            <v>-</v>
          </cell>
          <cell r="D516">
            <v>0.18323957362468132</v>
          </cell>
          <cell r="E516">
            <v>0.19501298138807874</v>
          </cell>
          <cell r="F516">
            <v>0.1930143561185613</v>
          </cell>
          <cell r="G516">
            <v>0.14999611059060552</v>
          </cell>
          <cell r="H516">
            <v>4.922048683839381E-5</v>
          </cell>
          <cell r="I516">
            <v>9.7802613865330976E-6</v>
          </cell>
        </row>
        <row r="517">
          <cell r="A517" t="str">
            <v>T_C-ICE-DSL-S4</v>
          </cell>
          <cell r="B517" t="str">
            <v>VAR_fout</v>
          </cell>
          <cell r="C517" t="str">
            <v>CO2_T</v>
          </cell>
          <cell r="D517">
            <v>141.5635215313491</v>
          </cell>
          <cell r="E517">
            <v>162.04639401568937</v>
          </cell>
          <cell r="F517">
            <v>159.32880373307214</v>
          </cell>
          <cell r="G517">
            <v>122.74557302002306</v>
          </cell>
          <cell r="H517">
            <v>5.9968402814782835E-2</v>
          </cell>
          <cell r="I517">
            <v>1.1181295487750299E-2</v>
          </cell>
        </row>
        <row r="518">
          <cell r="A518" t="str">
            <v>T_C-ICE-DSL-S4</v>
          </cell>
          <cell r="B518" t="str">
            <v>VAR_fout</v>
          </cell>
          <cell r="C518" t="str">
            <v>TPCAR</v>
          </cell>
          <cell r="D518">
            <v>0.90027983405199608</v>
          </cell>
          <cell r="E518">
            <v>1.00753314507586</v>
          </cell>
          <cell r="F518">
            <v>0.99280839516048602</v>
          </cell>
          <cell r="G518">
            <v>0.7756139242254263</v>
          </cell>
          <cell r="H518">
            <v>3.6694173130775027E-4</v>
          </cell>
          <cell r="I518">
            <v>7.0024476639115498E-5</v>
          </cell>
        </row>
        <row r="519">
          <cell r="A519" t="str">
            <v>T_C-ICE-DSL-S4</v>
          </cell>
          <cell r="B519" t="str">
            <v>VAR_fin</v>
          </cell>
          <cell r="C519" t="str">
            <v>TDSL</v>
          </cell>
          <cell r="D519">
            <v>1.9312895161166357</v>
          </cell>
          <cell r="E519">
            <v>2.2107284313190929</v>
          </cell>
          <cell r="F519">
            <v>2.173653529782698</v>
          </cell>
          <cell r="G519">
            <v>1.6745644341067261</v>
          </cell>
          <cell r="H519">
            <v>8.1812282148407598E-4</v>
          </cell>
          <cell r="I519">
            <v>1.5254154826398829E-4</v>
          </cell>
        </row>
        <row r="520">
          <cell r="A520" t="str">
            <v>T_C-ICE-DSL-S4</v>
          </cell>
          <cell r="B520" t="str">
            <v>VAR_ncap</v>
          </cell>
          <cell r="C520" t="str">
            <v>-</v>
          </cell>
          <cell r="E520">
            <v>8.7542940518641294E-6</v>
          </cell>
          <cell r="F520">
            <v>1.93956951059183E-5</v>
          </cell>
          <cell r="G520">
            <v>2.2270287460747699E-5</v>
          </cell>
        </row>
        <row r="521">
          <cell r="A521" t="str">
            <v>T_C-ICE-DSL-S4</v>
          </cell>
          <cell r="B521" t="str">
            <v>VAR_cap</v>
          </cell>
          <cell r="C521" t="str">
            <v>-</v>
          </cell>
          <cell r="D521">
            <v>7.1261690115387868E-2</v>
          </cell>
          <cell r="E521">
            <v>7.9345296403681723E-2</v>
          </cell>
          <cell r="F521">
            <v>7.8228528832236757E-2</v>
          </cell>
          <cell r="G521">
            <v>6.1094361025991542E-2</v>
          </cell>
          <cell r="H521">
            <v>3.3645261198865638E-5</v>
          </cell>
          <cell r="I521">
            <v>6.881252704045357E-6</v>
          </cell>
        </row>
        <row r="522">
          <cell r="A522" t="str">
            <v>TFLGV-ICENGAExt</v>
          </cell>
          <cell r="B522" t="str">
            <v>VAR_fout</v>
          </cell>
          <cell r="C522" t="str">
            <v>CO2_T</v>
          </cell>
          <cell r="D522">
            <v>6.0421697932707898</v>
          </cell>
          <cell r="E522">
            <v>1.8356732646842699</v>
          </cell>
          <cell r="F522">
            <v>3.9419231381058202</v>
          </cell>
          <cell r="G522">
            <v>9.3271513384268203E-4</v>
          </cell>
        </row>
        <row r="523">
          <cell r="A523" t="str">
            <v>TFLGV-ICENGAExt</v>
          </cell>
          <cell r="B523" t="str">
            <v>VAR_fout</v>
          </cell>
          <cell r="C523" t="str">
            <v>TFLGV</v>
          </cell>
          <cell r="D523">
            <v>2.9737680236659261E-2</v>
          </cell>
          <cell r="E523">
            <v>9.1188156674174344E-3</v>
          </cell>
          <cell r="F523">
            <v>1.9852962403384508E-2</v>
          </cell>
          <cell r="G523">
            <v>4.6974935422369507E-6</v>
          </cell>
        </row>
        <row r="524">
          <cell r="A524" t="str">
            <v>TFLGV-ICENGAExt</v>
          </cell>
          <cell r="B524" t="str">
            <v>VAR_fin</v>
          </cell>
          <cell r="C524" t="str">
            <v>TNGA</v>
          </cell>
          <cell r="D524">
            <v>0.10713067009345367</v>
          </cell>
          <cell r="E524">
            <v>3.2547398310004777E-2</v>
          </cell>
          <cell r="F524">
            <v>6.9892254221734382E-2</v>
          </cell>
          <cell r="G524">
            <v>1.6537502373097198E-5</v>
          </cell>
        </row>
        <row r="525">
          <cell r="A525" t="str">
            <v>TFLGV-ICENGAExt</v>
          </cell>
          <cell r="B525" t="str">
            <v>VAR_cap</v>
          </cell>
          <cell r="C525" t="str">
            <v>-</v>
          </cell>
          <cell r="D525">
            <v>2.085E-3</v>
          </cell>
          <cell r="E525">
            <v>1.807E-3</v>
          </cell>
          <cell r="F525">
            <v>1.389988232253056E-3</v>
          </cell>
          <cell r="G525">
            <v>2.4742673398201256E-7</v>
          </cell>
        </row>
        <row r="526">
          <cell r="A526" t="str">
            <v>D-TGSL</v>
          </cell>
          <cell r="B526" t="str">
            <v>VAR_fout</v>
          </cell>
          <cell r="C526" t="str">
            <v>CO2</v>
          </cell>
          <cell r="D526">
            <v>5904.96493176687</v>
          </cell>
          <cell r="E526">
            <v>5902.0307932308197</v>
          </cell>
          <cell r="F526">
            <v>5569.5609701091498</v>
          </cell>
          <cell r="G526">
            <v>3606.3787977358802</v>
          </cell>
          <cell r="H526">
            <v>1304.4563641705799</v>
          </cell>
          <cell r="I526">
            <v>116.23438875426601</v>
          </cell>
        </row>
        <row r="527">
          <cell r="A527" t="str">
            <v>D-TGSL</v>
          </cell>
          <cell r="B527" t="str">
            <v>VAR_fout</v>
          </cell>
          <cell r="C527" t="str">
            <v>TGSL</v>
          </cell>
          <cell r="D527">
            <v>83.402797464279658</v>
          </cell>
          <cell r="E527">
            <v>83.36136470012211</v>
          </cell>
          <cell r="F527">
            <v>78.696507746445661</v>
          </cell>
          <cell r="G527">
            <v>53.753343041129291</v>
          </cell>
          <cell r="H527">
            <v>25.821201788035832</v>
          </cell>
          <cell r="I527">
            <v>8.2356662346951932</v>
          </cell>
        </row>
        <row r="528">
          <cell r="A528" t="str">
            <v>D-TGSL</v>
          </cell>
          <cell r="B528" t="str">
            <v>VAR_fin</v>
          </cell>
          <cell r="C528" t="str">
            <v>GSL</v>
          </cell>
          <cell r="D528">
            <v>80.013074956190735</v>
          </cell>
          <cell r="E528">
            <v>79.973316981447425</v>
          </cell>
          <cell r="F528">
            <v>75.468305828037288</v>
          </cell>
          <cell r="G528">
            <v>48.866921378535025</v>
          </cell>
          <cell r="H528">
            <v>17.675560490116268</v>
          </cell>
          <cell r="I528">
            <v>1.5749917175374837</v>
          </cell>
        </row>
        <row r="529">
          <cell r="A529" t="str">
            <v>D-TGSL</v>
          </cell>
          <cell r="B529" t="str">
            <v>VAR_fin</v>
          </cell>
          <cell r="C529" t="str">
            <v>ETH</v>
          </cell>
          <cell r="D529">
            <v>4.6337004131153865</v>
          </cell>
          <cell r="E529">
            <v>4.63140759302365</v>
          </cell>
          <cell r="F529">
            <v>4.4019840634537717</v>
          </cell>
          <cell r="G529">
            <v>5.6881689092521217</v>
          </cell>
          <cell r="H529">
            <v>8.530772309324286</v>
          </cell>
          <cell r="I529">
            <v>6.7835136619762384</v>
          </cell>
        </row>
        <row r="530">
          <cell r="A530" t="str">
            <v>T_TW-BEVELC-S1</v>
          </cell>
          <cell r="B530" t="str">
            <v>VAR_fout</v>
          </cell>
          <cell r="C530" t="str">
            <v>TPTWL</v>
          </cell>
          <cell r="D530">
            <v>1.7412254099868928E-2</v>
          </cell>
          <cell r="E530">
            <v>2.6210501725567409E-2</v>
          </cell>
          <cell r="F530">
            <v>2.7700330701925367E-2</v>
          </cell>
          <cell r="G530">
            <v>2.3962710466486185E-2</v>
          </cell>
          <cell r="H530">
            <v>7.5801450602652606E-3</v>
          </cell>
          <cell r="I530">
            <v>1.4341116792232766</v>
          </cell>
        </row>
        <row r="531">
          <cell r="A531" t="str">
            <v>T_TW-BEVELC-S1</v>
          </cell>
          <cell r="B531" t="str">
            <v>VAR_fin</v>
          </cell>
          <cell r="C531" t="str">
            <v>T-ELC-TWSTGout_S1</v>
          </cell>
          <cell r="D531">
            <v>1.5688231916801913E-3</v>
          </cell>
          <cell r="E531">
            <v>2.3589016785148433E-3</v>
          </cell>
          <cell r="F531">
            <v>2.491294793637135E-3</v>
          </cell>
          <cell r="G531">
            <v>2.1448072353676632E-3</v>
          </cell>
          <cell r="H531">
            <v>6.5476662816165104E-4</v>
          </cell>
          <cell r="I531">
            <v>0.12037828827525841</v>
          </cell>
        </row>
        <row r="532">
          <cell r="A532" t="str">
            <v>T_TW-BEVELC-S1</v>
          </cell>
          <cell r="B532" t="str">
            <v>VAR_ncap</v>
          </cell>
          <cell r="C532" t="str">
            <v>-</v>
          </cell>
          <cell r="D532">
            <v>1.32889742421911E-4</v>
          </cell>
          <cell r="E532">
            <v>9.9319042808150592E-4</v>
          </cell>
          <cell r="F532">
            <v>5.7983127882979004E-4</v>
          </cell>
          <cell r="G532">
            <v>1.53503076769223E-3</v>
          </cell>
          <cell r="H532">
            <v>1.5121877271945499E-3</v>
          </cell>
          <cell r="I532">
            <v>0.57268092331741705</v>
          </cell>
        </row>
        <row r="533">
          <cell r="A533" t="str">
            <v>T_TW-BEVELC-S1</v>
          </cell>
          <cell r="B533" t="str">
            <v>VAR_cap</v>
          </cell>
          <cell r="C533" t="str">
            <v>-</v>
          </cell>
          <cell r="D533">
            <v>6.0735802383499321E-3</v>
          </cell>
          <cell r="E533">
            <v>9.0205456960519292E-3</v>
          </cell>
          <cell r="F533">
            <v>9.6001696087126536E-3</v>
          </cell>
          <cell r="G533">
            <v>8.2691126703357248E-3</v>
          </cell>
          <cell r="H533">
            <v>2.7311254656419179E-3</v>
          </cell>
          <cell r="I533">
            <v>0.57360540833317564</v>
          </cell>
        </row>
        <row r="534">
          <cell r="A534" t="str">
            <v>T_TW-BEVELC-S2</v>
          </cell>
          <cell r="B534" t="str">
            <v>VAR_fout</v>
          </cell>
          <cell r="C534" t="str">
            <v>TPTWL</v>
          </cell>
          <cell r="D534">
            <v>2.2567142738194579E-3</v>
          </cell>
          <cell r="E534">
            <v>3.1446361984997649E-3</v>
          </cell>
          <cell r="F534">
            <v>3.4179191915617441E-3</v>
          </cell>
          <cell r="G534">
            <v>3.4884841407542152E-3</v>
          </cell>
          <cell r="H534">
            <v>1.4509524969463416E-3</v>
          </cell>
          <cell r="I534">
            <v>9.8199867731551312E-4</v>
          </cell>
        </row>
        <row r="535">
          <cell r="A535" t="str">
            <v>T_TW-BEVELC-S2</v>
          </cell>
          <cell r="B535" t="str">
            <v>VAR_fin</v>
          </cell>
          <cell r="C535" t="str">
            <v>T-ELC-TWSTGout_S2</v>
          </cell>
          <cell r="D535">
            <v>3.590907033679108E-4</v>
          </cell>
          <cell r="E535">
            <v>4.9991685325549544E-4</v>
          </cell>
          <cell r="F535">
            <v>5.4260834206456936E-4</v>
          </cell>
          <cell r="G535">
            <v>5.5187765659164216E-4</v>
          </cell>
          <cell r="H535">
            <v>2.219658425625604E-4</v>
          </cell>
          <cell r="I535">
            <v>1.4781376711475152E-4</v>
          </cell>
        </row>
        <row r="536">
          <cell r="A536" t="str">
            <v>T_TW-BEVELC-S2</v>
          </cell>
          <cell r="B536" t="str">
            <v>VAR_ncap</v>
          </cell>
          <cell r="C536" t="str">
            <v>-</v>
          </cell>
          <cell r="D536">
            <v>4.9192768923574097E-5</v>
          </cell>
          <cell r="E536">
            <v>1.33902721439558E-4</v>
          </cell>
          <cell r="F536">
            <v>1.46157953699475E-4</v>
          </cell>
          <cell r="G536">
            <v>1.7124893652516299E-4</v>
          </cell>
          <cell r="H536">
            <v>1.9225283591631901E-4</v>
          </cell>
          <cell r="I536">
            <v>1.7082363833260399E-4</v>
          </cell>
        </row>
        <row r="537">
          <cell r="A537" t="str">
            <v>T_TW-BEVELC-S2</v>
          </cell>
          <cell r="B537" t="str">
            <v>VAR_cap</v>
          </cell>
          <cell r="C537" t="str">
            <v>-</v>
          </cell>
          <cell r="D537">
            <v>8.339924522429141E-4</v>
          </cell>
          <cell r="E537">
            <v>1.085699670348282E-3</v>
          </cell>
          <cell r="F537">
            <v>1.2318088638434662E-3</v>
          </cell>
          <cell r="G537">
            <v>1.2381787078174142E-3</v>
          </cell>
          <cell r="H537">
            <v>5.5347426803498741E-4</v>
          </cell>
          <cell r="I537">
            <v>3.8960319500720367E-4</v>
          </cell>
        </row>
        <row r="538">
          <cell r="A538" t="str">
            <v>T_TW-BEVELC-S3</v>
          </cell>
          <cell r="B538" t="str">
            <v>VAR_fout</v>
          </cell>
          <cell r="C538" t="str">
            <v>TPTWL</v>
          </cell>
          <cell r="D538">
            <v>3.532013538834149E-4</v>
          </cell>
          <cell r="E538">
            <v>7.2196373813537904E-4</v>
          </cell>
          <cell r="F538">
            <v>8.944004047999768E-4</v>
          </cell>
          <cell r="G538">
            <v>1.1059239301911058E-3</v>
          </cell>
          <cell r="H538">
            <v>1.0327494810175061E-3</v>
          </cell>
          <cell r="I538">
            <v>5.3349037960176394E-4</v>
          </cell>
        </row>
        <row r="539">
          <cell r="A539" t="str">
            <v>T_TW-BEVELC-S3</v>
          </cell>
          <cell r="B539" t="str">
            <v>VAR_fin</v>
          </cell>
          <cell r="C539" t="str">
            <v>T-ELC-TWSTGout_S3</v>
          </cell>
          <cell r="D539">
            <v>8.6354274229541127E-5</v>
          </cell>
          <cell r="E539">
            <v>1.7610760794516293E-4</v>
          </cell>
          <cell r="F539">
            <v>2.1754054275782819E-4</v>
          </cell>
          <cell r="G539">
            <v>2.6774358018476251E-4</v>
          </cell>
          <cell r="H539">
            <v>2.4570529856002315E-4</v>
          </cell>
          <cell r="I539">
            <v>1.2315897367298087E-4</v>
          </cell>
        </row>
        <row r="540">
          <cell r="A540" t="str">
            <v>T_TW-BEVELC-S3</v>
          </cell>
          <cell r="B540" t="str">
            <v>VAR_ncap</v>
          </cell>
          <cell r="C540" t="str">
            <v>-</v>
          </cell>
          <cell r="D540">
            <v>2.42035639500916E-5</v>
          </cell>
          <cell r="E540">
            <v>6.7364432180066095E-5</v>
          </cell>
          <cell r="F540">
            <v>7.3358513337985195E-5</v>
          </cell>
          <cell r="G540">
            <v>7.4803698057964306E-5</v>
          </cell>
          <cell r="H540">
            <v>6.5936285618995198E-5</v>
          </cell>
          <cell r="I540">
            <v>6.1167911615752198E-5</v>
          </cell>
        </row>
        <row r="541">
          <cell r="A541" t="str">
            <v>T_TW-BEVELC-S3</v>
          </cell>
          <cell r="B541" t="str">
            <v>VAR_cap</v>
          </cell>
          <cell r="C541" t="str">
            <v>-</v>
          </cell>
          <cell r="D541">
            <v>1.3116556540047225E-4</v>
          </cell>
          <cell r="E541">
            <v>2.5331661447359929E-4</v>
          </cell>
          <cell r="F541">
            <v>3.267096486588629E-4</v>
          </cell>
          <cell r="G541">
            <v>4.0146722588010734E-4</v>
          </cell>
          <cell r="H541">
            <v>3.9754424454803812E-4</v>
          </cell>
          <cell r="I541">
            <v>2.1029340569639373E-4</v>
          </cell>
        </row>
        <row r="542">
          <cell r="A542" t="str">
            <v>T_TW-BEVELC-S4</v>
          </cell>
          <cell r="B542" t="str">
            <v>VAR_fout</v>
          </cell>
          <cell r="C542" t="str">
            <v>TPTWL</v>
          </cell>
          <cell r="D542">
            <v>2.9025948300976409E-4</v>
          </cell>
          <cell r="E542">
            <v>5.7003228169792946E-4</v>
          </cell>
          <cell r="F542">
            <v>7.8416179523451638E-4</v>
          </cell>
          <cell r="G542">
            <v>9.7486680120134053E-4</v>
          </cell>
          <cell r="H542">
            <v>1.3299601923424066E-3</v>
          </cell>
          <cell r="I542">
            <v>8.116185268309459E-4</v>
          </cell>
        </row>
        <row r="543">
          <cell r="A543" t="str">
            <v>T_TW-BEVELC-S4</v>
          </cell>
          <cell r="B543" t="str">
            <v>VAR_fin</v>
          </cell>
          <cell r="C543" t="str">
            <v>T-ELC-TWSTGout_S4</v>
          </cell>
          <cell r="D543">
            <v>7.7093057063711505E-5</v>
          </cell>
          <cell r="E543">
            <v>1.5096485115123309E-4</v>
          </cell>
          <cell r="F543">
            <v>2.0680941003376347E-4</v>
          </cell>
          <cell r="G543">
            <v>2.5579828300412166E-4</v>
          </cell>
          <cell r="H543">
            <v>3.444903072610658E-4</v>
          </cell>
          <cell r="I543">
            <v>2.0512018418743366E-4</v>
          </cell>
        </row>
        <row r="544">
          <cell r="A544" t="str">
            <v>T_TW-BEVELC-S4</v>
          </cell>
          <cell r="B544" t="str">
            <v>VAR_ncap</v>
          </cell>
          <cell r="C544" t="str">
            <v>-</v>
          </cell>
          <cell r="D544">
            <v>9.4419546247154299E-5</v>
          </cell>
          <cell r="E544">
            <v>7.7952278358857301E-5</v>
          </cell>
          <cell r="F544">
            <v>8.5558522696245996E-5</v>
          </cell>
          <cell r="G544">
            <v>6.9290784378050002E-5</v>
          </cell>
          <cell r="H544">
            <v>7.2245547705862296E-5</v>
          </cell>
          <cell r="I544">
            <v>5.7650915031545101E-5</v>
          </cell>
        </row>
        <row r="545">
          <cell r="A545" t="str">
            <v>T_TW-BEVELC-S4</v>
          </cell>
          <cell r="B545" t="str">
            <v>VAR_cap</v>
          </cell>
          <cell r="C545" t="str">
            <v>-</v>
          </cell>
          <cell r="D545">
            <v>1.074195462471543E-4</v>
          </cell>
          <cell r="E545">
            <v>1.9921081671815154E-4</v>
          </cell>
          <cell r="F545">
            <v>2.8477966284656771E-4</v>
          </cell>
          <cell r="G545">
            <v>3.5392886998178793E-4</v>
          </cell>
          <cell r="H545">
            <v>5.1039919323929927E-4</v>
          </cell>
          <cell r="I545">
            <v>3.2136047376263559E-4</v>
          </cell>
        </row>
        <row r="546">
          <cell r="A546" t="str">
            <v>T_B_u-BeVELCEXT</v>
          </cell>
          <cell r="B546" t="str">
            <v>VAR_fout</v>
          </cell>
          <cell r="C546" t="str">
            <v>TPBSu</v>
          </cell>
          <cell r="D546">
            <v>1.985774318546752E-3</v>
          </cell>
          <cell r="E546">
            <v>1.6092464812316935E-3</v>
          </cell>
          <cell r="F546">
            <v>1.0045695648496053E-3</v>
          </cell>
        </row>
        <row r="547">
          <cell r="A547" t="str">
            <v>T_B_u-BeVELCEXT</v>
          </cell>
          <cell r="B547" t="str">
            <v>VAR_fin</v>
          </cell>
          <cell r="C547" t="str">
            <v>TELC</v>
          </cell>
          <cell r="D547">
            <v>4.7386348529212781E-4</v>
          </cell>
          <cell r="E547">
            <v>4.7699033175206782E-4</v>
          </cell>
          <cell r="F547">
            <v>4.6757428606481475E-4</v>
          </cell>
        </row>
        <row r="548">
          <cell r="A548" t="str">
            <v>T_B_u-BeVELCEXT</v>
          </cell>
          <cell r="B548" t="str">
            <v>VAR_cap</v>
          </cell>
          <cell r="C548" t="str">
            <v>-</v>
          </cell>
          <cell r="D548">
            <v>3.77895550061805E-5</v>
          </cell>
          <cell r="E548">
            <v>3.02316440049444E-5</v>
          </cell>
          <cell r="F548">
            <v>1.8894777503090199E-5</v>
          </cell>
        </row>
        <row r="549">
          <cell r="A549" t="str">
            <v>T_B_u-HYBDSL-S1</v>
          </cell>
          <cell r="B549" t="str">
            <v>VAR_fout</v>
          </cell>
          <cell r="C549" t="str">
            <v>CO2_T</v>
          </cell>
          <cell r="E549">
            <v>2.5709205488522402</v>
          </cell>
          <cell r="F549">
            <v>2.6071091557335344</v>
          </cell>
          <cell r="G549">
            <v>6.3699357084057301E-2</v>
          </cell>
          <cell r="H549">
            <v>0.10701133757578521</v>
          </cell>
          <cell r="I549">
            <v>19.640313585331103</v>
          </cell>
        </row>
        <row r="550">
          <cell r="A550" t="str">
            <v>T_B_u-HYBDSL-S1</v>
          </cell>
          <cell r="B550" t="str">
            <v>VAR_fout</v>
          </cell>
          <cell r="C550" t="str">
            <v>TPBSu</v>
          </cell>
          <cell r="E550">
            <v>5.699997407913179E-3</v>
          </cell>
          <cell r="F550">
            <v>5.784485402282223E-3</v>
          </cell>
          <cell r="G550">
            <v>1.5104904179462231E-4</v>
          </cell>
          <cell r="H550">
            <v>2.9138209265214824E-4</v>
          </cell>
          <cell r="I550">
            <v>6.025959458283428E-2</v>
          </cell>
        </row>
        <row r="551">
          <cell r="A551" t="str">
            <v>T_B_u-HYBDSL-S1</v>
          </cell>
          <cell r="B551" t="str">
            <v>VAR_fin</v>
          </cell>
          <cell r="C551" t="str">
            <v>TDSL</v>
          </cell>
          <cell r="E551">
            <v>3.5073950188980026E-2</v>
          </cell>
          <cell r="F551">
            <v>3.5567655603458752E-2</v>
          </cell>
          <cell r="G551">
            <v>8.6902260687663337E-4</v>
          </cell>
          <cell r="H551">
            <v>1.4599091074459086E-3</v>
          </cell>
          <cell r="I551">
            <v>0.26794425082307094</v>
          </cell>
        </row>
        <row r="552">
          <cell r="A552" t="str">
            <v>T_B_u-HYBDSL-S1</v>
          </cell>
          <cell r="B552" t="str">
            <v>VAR_ncap</v>
          </cell>
          <cell r="C552" t="str">
            <v>-</v>
          </cell>
          <cell r="E552">
            <v>1.076459331138E-4</v>
          </cell>
          <cell r="F552">
            <v>1.81174099529354E-6</v>
          </cell>
          <cell r="G552">
            <v>1.4323489510889701E-6</v>
          </cell>
          <cell r="H552">
            <v>3.36062469071747E-6</v>
          </cell>
          <cell r="I552">
            <v>1.6203118767578999E-3</v>
          </cell>
        </row>
        <row r="553">
          <cell r="A553" t="str">
            <v>T_B_u-HYBDSL-S1</v>
          </cell>
          <cell r="B553" t="str">
            <v>VAR_cap</v>
          </cell>
          <cell r="C553" t="str">
            <v>-</v>
          </cell>
          <cell r="E553">
            <v>1.076459331138E-4</v>
          </cell>
          <cell r="F553">
            <v>1.09457674109094E-4</v>
          </cell>
          <cell r="G553">
            <v>3.6941573645468039E-6</v>
          </cell>
          <cell r="H553">
            <v>6.0705936093113286E-6</v>
          </cell>
          <cell r="I553">
            <v>1.62243054455675E-3</v>
          </cell>
        </row>
        <row r="554">
          <cell r="A554" t="str">
            <v>T_B_u-HYBDSL-S2</v>
          </cell>
          <cell r="B554" t="str">
            <v>VAR_fout</v>
          </cell>
          <cell r="C554" t="str">
            <v>CO2_T</v>
          </cell>
          <cell r="E554">
            <v>4.8470940737297498E-2</v>
          </cell>
          <cell r="F554">
            <v>9.0860890087394702E-2</v>
          </cell>
          <cell r="G554">
            <v>9.2730363668282703E-2</v>
          </cell>
          <cell r="H554">
            <v>8.3454039516862713E-2</v>
          </cell>
          <cell r="I554">
            <v>4.5540459435048516E-2</v>
          </cell>
        </row>
        <row r="555">
          <cell r="A555" t="str">
            <v>T_B_u-HYBDSL-S2</v>
          </cell>
          <cell r="B555" t="str">
            <v>VAR_fout</v>
          </cell>
          <cell r="C555" t="str">
            <v>TPBSu</v>
          </cell>
          <cell r="E555">
            <v>7.703370516363112E-5</v>
          </cell>
          <cell r="F555">
            <v>1.4775731140468382E-4</v>
          </cell>
          <cell r="G555">
            <v>1.561094312621304E-4</v>
          </cell>
          <cell r="H555">
            <v>1.6209545266535321E-4</v>
          </cell>
          <cell r="I555">
            <v>9.4551062722371306E-5</v>
          </cell>
        </row>
        <row r="556">
          <cell r="A556" t="str">
            <v>T_B_u-HYBDSL-S2</v>
          </cell>
          <cell r="B556" t="str">
            <v>VAR_fin</v>
          </cell>
          <cell r="C556" t="str">
            <v>TDSL</v>
          </cell>
          <cell r="E556">
            <v>6.612679500313432E-4</v>
          </cell>
          <cell r="F556">
            <v>1.2395755810012943E-3</v>
          </cell>
          <cell r="G556">
            <v>1.2650799954745263E-3</v>
          </cell>
          <cell r="H556">
            <v>1.1385271421127255E-3</v>
          </cell>
          <cell r="I556">
            <v>6.2128866896382596E-4</v>
          </cell>
        </row>
        <row r="557">
          <cell r="A557" t="str">
            <v>T_B_u-HYBDSL-S2</v>
          </cell>
          <cell r="B557" t="str">
            <v>VAR_ncap</v>
          </cell>
          <cell r="C557" t="str">
            <v>-</v>
          </cell>
          <cell r="E557">
            <v>1.50493946113075E-6</v>
          </cell>
          <cell r="F557">
            <v>1.3635591221842601E-6</v>
          </cell>
          <cell r="G557">
            <v>9.5293832231691802E-7</v>
          </cell>
          <cell r="H557">
            <v>1.52907388372384E-6</v>
          </cell>
          <cell r="I557">
            <v>9.2547269156955502E-7</v>
          </cell>
        </row>
        <row r="558">
          <cell r="A558" t="str">
            <v>T_B_u-HYBDSL-S2</v>
          </cell>
          <cell r="B558" t="str">
            <v>VAR_cap</v>
          </cell>
          <cell r="C558" t="str">
            <v>-</v>
          </cell>
          <cell r="E558">
            <v>1.50493946113075E-6</v>
          </cell>
          <cell r="F558">
            <v>2.8684985833150101E-6</v>
          </cell>
          <cell r="G558">
            <v>3.18389255658589E-6</v>
          </cell>
          <cell r="H558">
            <v>3.2104685188609899E-6</v>
          </cell>
          <cell r="I558">
            <v>1.9577569125926301E-6</v>
          </cell>
        </row>
        <row r="559">
          <cell r="A559" t="str">
            <v>T_B_u-HYBDSL-S3</v>
          </cell>
          <cell r="B559" t="str">
            <v>VAR_fout</v>
          </cell>
          <cell r="C559" t="str">
            <v>CO2_T</v>
          </cell>
          <cell r="E559">
            <v>3.6818739285162501</v>
          </cell>
          <cell r="F559">
            <v>42.341427548789511</v>
          </cell>
          <cell r="G559">
            <v>41.149102089684476</v>
          </cell>
          <cell r="H559">
            <v>49.465263761434855</v>
          </cell>
          <cell r="I559">
            <v>2.4578625393133371</v>
          </cell>
        </row>
        <row r="560">
          <cell r="A560" t="str">
            <v>T_B_u-HYBDSL-S3</v>
          </cell>
          <cell r="B560" t="str">
            <v>VAR_fout</v>
          </cell>
          <cell r="C560" t="str">
            <v>TPBSu</v>
          </cell>
          <cell r="E560">
            <v>3.9298015824698563E-3</v>
          </cell>
          <cell r="F560">
            <v>4.7284775864959501E-2</v>
          </cell>
          <cell r="G560">
            <v>4.6056837106443982E-2</v>
          </cell>
          <cell r="H560">
            <v>6.3762452754127161E-2</v>
          </cell>
          <cell r="I560">
            <v>3.3138390809296261E-3</v>
          </cell>
        </row>
        <row r="561">
          <cell r="A561" t="str">
            <v>T_B_u-HYBDSL-S3</v>
          </cell>
          <cell r="B561" t="str">
            <v>VAR_fin</v>
          </cell>
          <cell r="C561" t="str">
            <v>TDSL</v>
          </cell>
          <cell r="E561">
            <v>5.0230203663250345E-2</v>
          </cell>
          <cell r="F561">
            <v>0.57764566915128923</v>
          </cell>
          <cell r="G561">
            <v>0.56137929181015522</v>
          </cell>
          <cell r="H561">
            <v>0.67483306632244011</v>
          </cell>
          <cell r="I561">
            <v>3.3531548967439803E-2</v>
          </cell>
        </row>
        <row r="562">
          <cell r="A562" t="str">
            <v>T_B_u-HYBDSL-S3</v>
          </cell>
          <cell r="B562" t="str">
            <v>VAR_ncap</v>
          </cell>
          <cell r="C562" t="str">
            <v>-</v>
          </cell>
          <cell r="E562">
            <v>7.4137907019614199E-5</v>
          </cell>
          <cell r="F562">
            <v>8.1758423960704796E-4</v>
          </cell>
          <cell r="G562">
            <v>7.0897710137642398E-6</v>
          </cell>
          <cell r="H562">
            <v>1.8065950900229201E-4</v>
          </cell>
          <cell r="I562">
            <v>6.6241001495864098E-7</v>
          </cell>
        </row>
        <row r="563">
          <cell r="A563" t="str">
            <v>T_B_u-HYBDSL-S3</v>
          </cell>
          <cell r="B563" t="str">
            <v>VAR_cap</v>
          </cell>
          <cell r="C563" t="str">
            <v>-</v>
          </cell>
          <cell r="E563">
            <v>7.4137907019614199E-5</v>
          </cell>
          <cell r="F563">
            <v>8.9172214662666205E-4</v>
          </cell>
          <cell r="G563">
            <v>8.6860025679555202E-4</v>
          </cell>
          <cell r="H563">
            <v>1.20241194409366E-3</v>
          </cell>
          <cell r="I563">
            <v>6.2542130274644396E-5</v>
          </cell>
        </row>
        <row r="564">
          <cell r="A564" t="str">
            <v>T_C-HY-GSL-S1</v>
          </cell>
          <cell r="B564" t="str">
            <v>VAR_fout</v>
          </cell>
          <cell r="C564" t="str">
            <v>CO2_T</v>
          </cell>
          <cell r="D564">
            <v>3.3672749565665949</v>
          </cell>
          <cell r="E564">
            <v>3.9496621660775322</v>
          </cell>
          <cell r="F564">
            <v>32.989431442715976</v>
          </cell>
          <cell r="G564">
            <v>88.456096750154899</v>
          </cell>
          <cell r="H564">
            <v>80.560444396540603</v>
          </cell>
          <cell r="I564">
            <v>15.87599629202581</v>
          </cell>
        </row>
        <row r="565">
          <cell r="A565" t="str">
            <v>T_C-HY-GSL-S1</v>
          </cell>
          <cell r="B565" t="str">
            <v>VAR_fout</v>
          </cell>
          <cell r="C565" t="str">
            <v>TPCAR</v>
          </cell>
          <cell r="D565">
            <v>5.1731963834669444E-2</v>
          </cell>
          <cell r="E565">
            <v>6.2031624688719408E-2</v>
          </cell>
          <cell r="F565">
            <v>0.52174328930203606</v>
          </cell>
          <cell r="G565">
            <v>1.1682775475975951</v>
          </cell>
          <cell r="H565">
            <v>1.0035912963081477</v>
          </cell>
          <cell r="I565">
            <v>0.19903155708366133</v>
          </cell>
        </row>
        <row r="566">
          <cell r="A566" t="str">
            <v>T_C-HY-GSL-S1</v>
          </cell>
          <cell r="B566" t="str">
            <v>VAR_fin</v>
          </cell>
          <cell r="C566" t="str">
            <v>TGSL</v>
          </cell>
          <cell r="D566">
            <v>4.5627031931796694E-2</v>
          </cell>
          <cell r="E566">
            <v>5.3518457534925894E-2</v>
          </cell>
          <cell r="F566">
            <v>0.44701126616146325</v>
          </cell>
          <cell r="G566">
            <v>1.1985920968855666</v>
          </cell>
          <cell r="H566">
            <v>1.0916049376225001</v>
          </cell>
          <cell r="I566">
            <v>0.2151219009759599</v>
          </cell>
        </row>
        <row r="567">
          <cell r="A567" t="str">
            <v>T_C-HY-GSL-S1</v>
          </cell>
          <cell r="B567" t="str">
            <v>VAR_ncap</v>
          </cell>
          <cell r="C567" t="str">
            <v>-</v>
          </cell>
          <cell r="E567">
            <v>7.0055082236172197E-5</v>
          </cell>
          <cell r="F567">
            <v>7.3724075338949993E-2</v>
          </cell>
          <cell r="G567">
            <v>0.11429523500529599</v>
          </cell>
          <cell r="H567">
            <v>8.2559045488038603E-4</v>
          </cell>
        </row>
        <row r="568">
          <cell r="A568" t="str">
            <v>T_C-HY-GSL-S1</v>
          </cell>
          <cell r="B568" t="str">
            <v>VAR_cap</v>
          </cell>
          <cell r="C568" t="str">
            <v>-</v>
          </cell>
          <cell r="D568">
            <v>5.6686056651694353E-3</v>
          </cell>
          <cell r="E568">
            <v>6.6285103365066505E-3</v>
          </cell>
          <cell r="F568">
            <v>7.9259941961920502E-2</v>
          </cell>
          <cell r="G568">
            <v>0.17750292640431276</v>
          </cell>
          <cell r="H568">
            <v>0.15251164010482743</v>
          </cell>
          <cell r="I568">
            <v>3.0245922070143816E-2</v>
          </cell>
        </row>
        <row r="569">
          <cell r="A569" t="str">
            <v>T_B_u-HYBDSL-S4</v>
          </cell>
          <cell r="B569" t="str">
            <v>VAR_fout</v>
          </cell>
          <cell r="C569" t="str">
            <v>CO2_T</v>
          </cell>
          <cell r="E569">
            <v>1.78108122669162E-3</v>
          </cell>
          <cell r="F569">
            <v>4.2466793937965194E-3</v>
          </cell>
          <cell r="G569">
            <v>2.285530715004958E-3</v>
          </cell>
          <cell r="H569">
            <v>7.3445019766638399E-3</v>
          </cell>
          <cell r="I569">
            <v>4.25496535981294E-4</v>
          </cell>
        </row>
        <row r="570">
          <cell r="A570" t="str">
            <v>T_B_u-HYBDSL-S4</v>
          </cell>
          <cell r="B570" t="str">
            <v>VAR_fout</v>
          </cell>
          <cell r="C570" t="str">
            <v>TPBSu</v>
          </cell>
          <cell r="E570">
            <v>1.2817817075450473E-6</v>
          </cell>
          <cell r="F570">
            <v>3.1188530796619394E-6</v>
          </cell>
          <cell r="G570">
            <v>1.7719498156954612E-6</v>
          </cell>
          <cell r="H570">
            <v>6.5214120389937795E-6</v>
          </cell>
          <cell r="I570">
            <v>4.2628253152038374E-7</v>
          </cell>
        </row>
        <row r="571">
          <cell r="A571" t="str">
            <v>T_B_u-HYBDSL-S4</v>
          </cell>
          <cell r="B571" t="str">
            <v>VAR_fin</v>
          </cell>
          <cell r="C571" t="str">
            <v>TDSL</v>
          </cell>
          <cell r="E571">
            <v>2.4298516053091651E-5</v>
          </cell>
          <cell r="F571">
            <v>5.7935598823963459E-5</v>
          </cell>
          <cell r="G571">
            <v>3.1180500886834304E-5</v>
          </cell>
          <cell r="H571">
            <v>1.0019784415639614E-4</v>
          </cell>
          <cell r="I571">
            <v>5.8048640652291085E-6</v>
          </cell>
        </row>
        <row r="572">
          <cell r="A572" t="str">
            <v>T_B_u-HYBDSL-S4</v>
          </cell>
          <cell r="B572" t="str">
            <v>VAR_ncap</v>
          </cell>
          <cell r="C572" t="str">
            <v>-</v>
          </cell>
          <cell r="E572">
            <v>4.0524852388369397E-8</v>
          </cell>
          <cell r="F572">
            <v>3.4902011439505197E-8</v>
          </cell>
          <cell r="G572">
            <v>2.3680299410950102E-8</v>
          </cell>
          <cell r="H572">
            <v>1.9218592710209999E-8</v>
          </cell>
          <cell r="I572">
            <v>1.0147432373739899E-8</v>
          </cell>
        </row>
        <row r="573">
          <cell r="A573" t="str">
            <v>T_B_u-HYBDSL-S4</v>
          </cell>
          <cell r="B573" t="str">
            <v>VAR_cap</v>
          </cell>
          <cell r="C573" t="str">
            <v>-</v>
          </cell>
          <cell r="E573">
            <v>4.0524852388369397E-8</v>
          </cell>
          <cell r="F573">
            <v>7.5426863827874594E-8</v>
          </cell>
          <cell r="G573">
            <v>6.1519732222361003E-8</v>
          </cell>
          <cell r="H573">
            <v>5.8093080113825103E-8</v>
          </cell>
          <cell r="I573">
            <v>1.35200770005104E-8</v>
          </cell>
        </row>
        <row r="574">
          <cell r="A574" t="str">
            <v>TFRLFDSLEXT</v>
          </cell>
          <cell r="B574" t="str">
            <v>VAR_fout</v>
          </cell>
          <cell r="C574" t="str">
            <v>CO2_T</v>
          </cell>
          <cell r="D574">
            <v>29.033362460020602</v>
          </cell>
          <cell r="E574">
            <v>20.340520706211901</v>
          </cell>
          <cell r="F574">
            <v>5.6514781364917603E-2</v>
          </cell>
          <cell r="G574">
            <v>7.7971959601038096E-3</v>
          </cell>
          <cell r="H574">
            <v>2.0342165994689101E-2</v>
          </cell>
        </row>
        <row r="575">
          <cell r="A575" t="str">
            <v>TFRLFDSLEXT</v>
          </cell>
          <cell r="B575" t="str">
            <v>VAR_fout</v>
          </cell>
          <cell r="C575" t="str">
            <v>TFRLF</v>
          </cell>
          <cell r="D575">
            <v>1.6053801259520949E-3</v>
          </cell>
          <cell r="E575">
            <v>1.1247153249381626E-3</v>
          </cell>
          <cell r="F575">
            <v>3.1249465834589339E-6</v>
          </cell>
          <cell r="G575">
            <v>4.3114067307020758E-7</v>
          </cell>
          <cell r="H575">
            <v>1.1248063000508942E-6</v>
          </cell>
        </row>
        <row r="576">
          <cell r="A576" t="str">
            <v>TFRLFDSLEXT</v>
          </cell>
          <cell r="B576" t="str">
            <v>VAR_fin</v>
          </cell>
          <cell r="C576" t="str">
            <v>TDSL</v>
          </cell>
          <cell r="D576">
            <v>0.39608952878609366</v>
          </cell>
          <cell r="E576">
            <v>0.27749687184463639</v>
          </cell>
          <cell r="F576">
            <v>7.710065670520818E-4</v>
          </cell>
          <cell r="G576">
            <v>1.0637375116103422E-4</v>
          </cell>
          <cell r="H576">
            <v>2.7751931779930553E-4</v>
          </cell>
        </row>
        <row r="577">
          <cell r="A577" t="str">
            <v>TFRLFDSLEXT</v>
          </cell>
          <cell r="B577" t="str">
            <v>VAR_ncap</v>
          </cell>
          <cell r="C577" t="str">
            <v>-</v>
          </cell>
          <cell r="D577">
            <v>1.4821586210768899E-4</v>
          </cell>
        </row>
        <row r="578">
          <cell r="A578" t="str">
            <v>TFRLFDSLEXT</v>
          </cell>
          <cell r="B578" t="str">
            <v>VAR_cap</v>
          </cell>
          <cell r="C578" t="str">
            <v>-</v>
          </cell>
          <cell r="D578">
            <v>1.4821586210768899E-4</v>
          </cell>
          <cell r="E578">
            <v>1.4821586210768899E-4</v>
          </cell>
          <cell r="F578">
            <v>4.8188088560199437E-7</v>
          </cell>
          <cell r="G578">
            <v>1.7417895710499626E-7</v>
          </cell>
          <cell r="H578">
            <v>1.7447518433998501E-7</v>
          </cell>
          <cell r="I578">
            <v>7.0817679573604458E-8</v>
          </cell>
        </row>
        <row r="579">
          <cell r="A579" t="str">
            <v>T_C-HY-GSL-S2</v>
          </cell>
          <cell r="B579" t="str">
            <v>VAR_fout</v>
          </cell>
          <cell r="C579" t="str">
            <v>CO2_T</v>
          </cell>
          <cell r="D579">
            <v>10.261253873978418</v>
          </cell>
          <cell r="E579">
            <v>15.074894753186994</v>
          </cell>
          <cell r="F579">
            <v>98.274612713893703</v>
          </cell>
          <cell r="G579">
            <v>450.03379706482019</v>
          </cell>
          <cell r="H579">
            <v>171.55912202774019</v>
          </cell>
          <cell r="I579">
            <v>19.943808748003754</v>
          </cell>
        </row>
        <row r="580">
          <cell r="A580" t="str">
            <v>T_C-HY-GSL-S2</v>
          </cell>
          <cell r="B580" t="str">
            <v>VAR_fout</v>
          </cell>
          <cell r="C580" t="str">
            <v>TPCAR</v>
          </cell>
          <cell r="D580">
            <v>0.22201592810511334</v>
          </cell>
          <cell r="E580">
            <v>0.38675174226865827</v>
          </cell>
          <cell r="F580">
            <v>2.4785340595672936</v>
          </cell>
          <cell r="G580">
            <v>6.2795662114599411</v>
          </cell>
          <cell r="H580">
            <v>1.8473207825624742</v>
          </cell>
          <cell r="I580">
            <v>0.20766230944212663</v>
          </cell>
        </row>
        <row r="581">
          <cell r="A581" t="str">
            <v>T_C-HY-GSL-S2</v>
          </cell>
          <cell r="B581" t="str">
            <v>VAR_fin</v>
          </cell>
          <cell r="C581" t="str">
            <v>TGSL</v>
          </cell>
          <cell r="D581">
            <v>0.13904138040621156</v>
          </cell>
          <cell r="E581">
            <v>0.20426686657434967</v>
          </cell>
          <cell r="F581">
            <v>1.331634318616447</v>
          </cell>
          <cell r="G581">
            <v>6.0980189304176156</v>
          </cell>
          <cell r="H581">
            <v>2.3246493499693779</v>
          </cell>
          <cell r="I581">
            <v>0.27024131094856019</v>
          </cell>
        </row>
        <row r="582">
          <cell r="A582" t="str">
            <v>T_C-HY-GSL-S2</v>
          </cell>
          <cell r="B582" t="str">
            <v>VAR_ncap</v>
          </cell>
          <cell r="C582" t="str">
            <v>-</v>
          </cell>
          <cell r="E582">
            <v>1.14878374170613E-4</v>
          </cell>
          <cell r="F582">
            <v>0.23624683949388001</v>
          </cell>
          <cell r="G582">
            <v>0.26254874971372999</v>
          </cell>
          <cell r="H582">
            <v>6.3330750346407398E-4</v>
          </cell>
        </row>
        <row r="583">
          <cell r="A583" t="str">
            <v>T_C-HY-GSL-S2</v>
          </cell>
          <cell r="B583" t="str">
            <v>VAR_cap</v>
          </cell>
          <cell r="C583" t="str">
            <v>-</v>
          </cell>
          <cell r="D583">
            <v>1.722652118592197E-2</v>
          </cell>
          <cell r="E583">
            <v>2.9343730688138846E-2</v>
          </cell>
          <cell r="F583">
            <v>0.26135631023071987</v>
          </cell>
          <cell r="G583">
            <v>0.47644994454784173</v>
          </cell>
          <cell r="H583">
            <v>0.19453251013259165</v>
          </cell>
          <cell r="I583">
            <v>2.1898579285437047E-2</v>
          </cell>
        </row>
        <row r="584">
          <cell r="A584" t="str">
            <v>TPSHPNGAEXT</v>
          </cell>
          <cell r="B584" t="str">
            <v>VAR_fout</v>
          </cell>
          <cell r="C584" t="str">
            <v>TPSHP</v>
          </cell>
          <cell r="E584">
            <v>1.2158972022373699E-5</v>
          </cell>
          <cell r="F584">
            <v>9.3810741695973603E-4</v>
          </cell>
          <cell r="G584">
            <v>7.7012870853799403E-4</v>
          </cell>
          <cell r="H584">
            <v>1.04699399808334E-4</v>
          </cell>
          <cell r="I584">
            <v>2.21571750643528E-5</v>
          </cell>
        </row>
        <row r="585">
          <cell r="A585" t="str">
            <v>TPSHPNGAEXT</v>
          </cell>
          <cell r="B585" t="str">
            <v>VAR_fout</v>
          </cell>
          <cell r="C585" t="str">
            <v>CO2_T</v>
          </cell>
          <cell r="E585">
            <v>7.2876762518164404E-4</v>
          </cell>
          <cell r="F585">
            <v>5.6226983100629298E-2</v>
          </cell>
          <cell r="G585">
            <v>4.6158907921877899E-2</v>
          </cell>
          <cell r="H585">
            <v>6.2753276194615999E-3</v>
          </cell>
          <cell r="I585">
            <v>1.3280260718315201E-3</v>
          </cell>
        </row>
        <row r="586">
          <cell r="A586" t="str">
            <v>TPSHPNGAEXT</v>
          </cell>
          <cell r="B586" t="str">
            <v>VAR_fin</v>
          </cell>
          <cell r="C586" t="str">
            <v>TNGA</v>
          </cell>
          <cell r="E586">
            <v>1.2921411794000768E-5</v>
          </cell>
          <cell r="F586">
            <v>9.9693232447924432E-4</v>
          </cell>
          <cell r="G586">
            <v>8.1842035322478898E-4</v>
          </cell>
          <cell r="H586">
            <v>1.1126467410392945E-4</v>
          </cell>
          <cell r="I586">
            <v>2.3546561557296426E-5</v>
          </cell>
        </row>
        <row r="587">
          <cell r="A587" t="str">
            <v>TPSHPNGAEXT</v>
          </cell>
          <cell r="B587" t="str">
            <v>VAR_ncap</v>
          </cell>
          <cell r="C587" t="str">
            <v>-</v>
          </cell>
          <cell r="D587">
            <v>1.67337989146983E-5</v>
          </cell>
          <cell r="E587">
            <v>2.4836144882298501E-5</v>
          </cell>
          <cell r="F587">
            <v>8.9203307666601195E-4</v>
          </cell>
          <cell r="G587">
            <v>6.1336891925055499E-6</v>
          </cell>
          <cell r="H587">
            <v>6.1177727783298105E-7</v>
          </cell>
          <cell r="I587">
            <v>2.9873177154444201E-7</v>
          </cell>
        </row>
        <row r="588">
          <cell r="A588" t="str">
            <v>TPSHPNGAEXT</v>
          </cell>
          <cell r="B588" t="str">
            <v>VAR_cap</v>
          </cell>
          <cell r="C588" t="str">
            <v>-</v>
          </cell>
          <cell r="D588">
            <v>1.67337989146983E-5</v>
          </cell>
          <cell r="E588">
            <v>4.1569943796996801E-5</v>
          </cell>
          <cell r="F588">
            <v>9.3109723506455255E-4</v>
          </cell>
          <cell r="G588">
            <v>9.1062378200213422E-4</v>
          </cell>
          <cell r="H588">
            <v>-1.1437559106701033E-6</v>
          </cell>
          <cell r="I588">
            <v>-4.7614937974003665E-8</v>
          </cell>
        </row>
        <row r="589">
          <cell r="A589" t="str">
            <v>T_C-HY-DSL-S1</v>
          </cell>
          <cell r="B589" t="str">
            <v>VAR_fout</v>
          </cell>
          <cell r="C589" t="str">
            <v>CO2_T</v>
          </cell>
          <cell r="D589">
            <v>2.3476104353437801E-3</v>
          </cell>
          <cell r="E589">
            <v>12.999120867178965</v>
          </cell>
          <cell r="F589">
            <v>8.8281952372659003</v>
          </cell>
          <cell r="G589">
            <v>32.758032130719712</v>
          </cell>
          <cell r="H589">
            <v>33.055689969468659</v>
          </cell>
          <cell r="I589">
            <v>6.7243026338549319</v>
          </cell>
        </row>
        <row r="590">
          <cell r="A590" t="str">
            <v>T_C-HY-DSL-S1</v>
          </cell>
          <cell r="B590" t="str">
            <v>VAR_fout</v>
          </cell>
          <cell r="C590" t="str">
            <v>TPCAR</v>
          </cell>
          <cell r="D590">
            <v>1.3395188954608602E-5</v>
          </cell>
          <cell r="E590">
            <v>0.3010512855457379</v>
          </cell>
          <cell r="F590">
            <v>0.20356583275401816</v>
          </cell>
          <cell r="G590">
            <v>0.47178002005612774</v>
          </cell>
          <cell r="H590">
            <v>0.41086924563168142</v>
          </cell>
          <cell r="I590">
            <v>8.489094257018559E-2</v>
          </cell>
        </row>
        <row r="591">
          <cell r="A591" t="str">
            <v>T_C-HY-DSL-S1</v>
          </cell>
          <cell r="B591" t="str">
            <v>VAR_fin</v>
          </cell>
          <cell r="C591" t="str">
            <v>TDSL</v>
          </cell>
          <cell r="D591">
            <v>3.2027427494458063E-5</v>
          </cell>
          <cell r="E591">
            <v>0.17734134880189498</v>
          </cell>
          <cell r="F591">
            <v>0.12043922561072168</v>
          </cell>
          <cell r="G591">
            <v>0.44690357613533016</v>
          </cell>
          <cell r="H591">
            <v>0.45096439248934089</v>
          </cell>
          <cell r="I591">
            <v>9.1736734431854455E-2</v>
          </cell>
        </row>
        <row r="592">
          <cell r="A592" t="str">
            <v>T_C-HY-DSL-S1</v>
          </cell>
          <cell r="B592" t="str">
            <v>VAR_ncap</v>
          </cell>
          <cell r="C592" t="str">
            <v>-</v>
          </cell>
          <cell r="E592">
            <v>3.2596142656498697E-2</v>
          </cell>
          <cell r="F592">
            <v>6.0687305728872104E-4</v>
          </cell>
          <cell r="G592">
            <v>4.9369105289495001E-2</v>
          </cell>
          <cell r="H592">
            <v>7.1164657549154301E-4</v>
          </cell>
        </row>
        <row r="593">
          <cell r="A593" t="str">
            <v>T_C-HY-DSL-S1</v>
          </cell>
          <cell r="B593" t="str">
            <v>VAR_cap</v>
          </cell>
          <cell r="C593" t="str">
            <v>-</v>
          </cell>
          <cell r="D593">
            <v>1.5999999999999999E-6</v>
          </cell>
          <cell r="E593">
            <v>3.2163785289968799E-2</v>
          </cell>
          <cell r="F593">
            <v>3.0921605796666741E-2</v>
          </cell>
          <cell r="G593">
            <v>7.1678897854843937E-2</v>
          </cell>
          <cell r="H593">
            <v>6.243314552204484E-2</v>
          </cell>
          <cell r="I593">
            <v>1.2899356949631747E-2</v>
          </cell>
        </row>
        <row r="594">
          <cell r="A594" t="str">
            <v>T_C-HY-GSL-S3</v>
          </cell>
          <cell r="B594" t="str">
            <v>VAR_fout</v>
          </cell>
          <cell r="C594" t="str">
            <v>CO2_T</v>
          </cell>
          <cell r="D594">
            <v>7.5999431739470635</v>
          </cell>
          <cell r="E594">
            <v>63.438521619908343</v>
          </cell>
          <cell r="F594">
            <v>91.951304444061577</v>
          </cell>
          <cell r="G594">
            <v>76.055754036522671</v>
          </cell>
          <cell r="H594">
            <v>2.823360072992624</v>
          </cell>
          <cell r="I594">
            <v>3.5415900484083995E-2</v>
          </cell>
        </row>
        <row r="595">
          <cell r="A595" t="str">
            <v>T_C-HY-GSL-S3</v>
          </cell>
          <cell r="B595" t="str">
            <v>VAR_fout</v>
          </cell>
          <cell r="C595" t="str">
            <v>TPCAR</v>
          </cell>
          <cell r="D595">
            <v>0.20241519244598899</v>
          </cell>
          <cell r="E595">
            <v>2.127257403695368</v>
          </cell>
          <cell r="F595">
            <v>2.8040746774772023</v>
          </cell>
          <cell r="G595">
            <v>2.3189090986829273</v>
          </cell>
          <cell r="H595">
            <v>6.8239414334180071E-2</v>
          </cell>
          <cell r="I595">
            <v>3.4055845157104285E-4</v>
          </cell>
        </row>
        <row r="596">
          <cell r="A596" t="str">
            <v>T_C-HY-GSL-S3</v>
          </cell>
          <cell r="B596" t="str">
            <v>VAR_fin</v>
          </cell>
          <cell r="C596" t="str">
            <v>TGSL</v>
          </cell>
          <cell r="D596">
            <v>0.10298025980958084</v>
          </cell>
          <cell r="E596">
            <v>0.85960056395539874</v>
          </cell>
          <cell r="F596">
            <v>1.2459526347433814</v>
          </cell>
          <cell r="G596">
            <v>1.0305657728526125</v>
          </cell>
          <cell r="H596">
            <v>3.8256911558165574E-2</v>
          </cell>
          <cell r="I596">
            <v>4.7989025046184274E-4</v>
          </cell>
        </row>
        <row r="597">
          <cell r="A597" t="str">
            <v>T_C-HY-GSL-S3</v>
          </cell>
          <cell r="B597" t="str">
            <v>VAR_ncap</v>
          </cell>
          <cell r="C597" t="str">
            <v>-</v>
          </cell>
          <cell r="E597">
            <v>0.121956739709285</v>
          </cell>
          <cell r="F597">
            <v>5.5272480708394203E-2</v>
          </cell>
          <cell r="G597">
            <v>4.4069999442169698E-5</v>
          </cell>
          <cell r="H597">
            <v>3.2210089028881603E-5</v>
          </cell>
        </row>
        <row r="598">
          <cell r="A598" t="str">
            <v>T_C-HY-GSL-S3</v>
          </cell>
          <cell r="B598" t="str">
            <v>VAR_cap</v>
          </cell>
          <cell r="C598" t="str">
            <v>-</v>
          </cell>
          <cell r="D598">
            <v>1.4248278400971542E-2</v>
          </cell>
          <cell r="E598">
            <v>0.14626779361981587</v>
          </cell>
          <cell r="F598">
            <v>0.19283573078659222</v>
          </cell>
          <cell r="G598">
            <v>0.1594488955434859</v>
          </cell>
          <cell r="H598">
            <v>4.7038920696206316E-3</v>
          </cell>
          <cell r="I598">
            <v>2.8616851463342326E-5</v>
          </cell>
        </row>
        <row r="599">
          <cell r="A599" t="str">
            <v>T_C-HY-DSL-S2</v>
          </cell>
          <cell r="B599" t="str">
            <v>VAR_fout</v>
          </cell>
          <cell r="C599" t="str">
            <v>CO2_T</v>
          </cell>
          <cell r="D599">
            <v>0.20011641698859295</v>
          </cell>
          <cell r="E599">
            <v>48.67423146781892</v>
          </cell>
          <cell r="F599">
            <v>97.164819306341087</v>
          </cell>
          <cell r="G599">
            <v>333.24412352838067</v>
          </cell>
          <cell r="H599">
            <v>149.70797421752494</v>
          </cell>
          <cell r="I599">
            <v>23.745721872193482</v>
          </cell>
        </row>
        <row r="600">
          <cell r="A600" t="str">
            <v>T_C-HY-DSL-S2</v>
          </cell>
          <cell r="B600" t="str">
            <v>VAR_fout</v>
          </cell>
          <cell r="C600" t="str">
            <v>TPCAR</v>
          </cell>
          <cell r="D600">
            <v>3.204176382706125E-3</v>
          </cell>
          <cell r="E600">
            <v>1.7805133555137083</v>
          </cell>
          <cell r="F600">
            <v>2.9199613564434408</v>
          </cell>
          <cell r="G600">
            <v>5.5991097171077699</v>
          </cell>
          <cell r="H600">
            <v>1.6240194994005224</v>
          </cell>
          <cell r="I600">
            <v>0.24871837223411844</v>
          </cell>
        </row>
        <row r="601">
          <cell r="A601" t="str">
            <v>T_C-HY-DSL-S2</v>
          </cell>
          <cell r="B601" t="str">
            <v>VAR_fin</v>
          </cell>
          <cell r="C601" t="str">
            <v>TDSL</v>
          </cell>
          <cell r="D601">
            <v>2.7301011867475224E-3</v>
          </cell>
          <cell r="E601">
            <v>0.66404135699616518</v>
          </cell>
          <cell r="F601">
            <v>1.3255773438791425</v>
          </cell>
          <cell r="G601">
            <v>4.5463045501825414</v>
          </cell>
          <cell r="H601">
            <v>2.042400739666097</v>
          </cell>
          <cell r="I601">
            <v>0.32395254941600976</v>
          </cell>
        </row>
        <row r="602">
          <cell r="A602" t="str">
            <v>T_C-HY-DSL-S2</v>
          </cell>
          <cell r="B602" t="str">
            <v>VAR_ncap</v>
          </cell>
          <cell r="C602" t="str">
            <v>-</v>
          </cell>
          <cell r="E602">
            <v>0.13638807349977899</v>
          </cell>
          <cell r="F602">
            <v>0.18162434163299601</v>
          </cell>
          <cell r="G602">
            <v>0.174046010891761</v>
          </cell>
          <cell r="H602">
            <v>5.5142933737429699E-4</v>
          </cell>
        </row>
        <row r="603">
          <cell r="A603" t="str">
            <v>T_C-HY-DSL-S2</v>
          </cell>
          <cell r="B603" t="str">
            <v>VAR_cap</v>
          </cell>
          <cell r="C603" t="str">
            <v>-</v>
          </cell>
          <cell r="D603">
            <v>2.5975993825248745E-4</v>
          </cell>
          <cell r="E603">
            <v>0.1350929702374844</v>
          </cell>
          <cell r="F603">
            <v>0.30656959602818551</v>
          </cell>
          <cell r="G603">
            <v>0.42482182365152821</v>
          </cell>
          <cell r="H603">
            <v>0.17091067575863664</v>
          </cell>
          <cell r="I603">
            <v>2.6229128910875345E-2</v>
          </cell>
        </row>
        <row r="604">
          <cell r="A604" t="str">
            <v>D-T-ELC-Bus_c_S1</v>
          </cell>
          <cell r="B604" t="str">
            <v>VAR_fout</v>
          </cell>
          <cell r="C604" t="str">
            <v>T-ELC-Bus_c_BatSTGin_S1</v>
          </cell>
          <cell r="D604">
            <v>3.875660595038851E-4</v>
          </cell>
          <cell r="E604">
            <v>5.869242684889205E-4</v>
          </cell>
          <cell r="F604">
            <v>8.335979885927522E-4</v>
          </cell>
          <cell r="G604">
            <v>0.13761452479769828</v>
          </cell>
          <cell r="H604">
            <v>0.1292206373309287</v>
          </cell>
          <cell r="I604">
            <v>9.1610733019698617E-2</v>
          </cell>
        </row>
        <row r="605">
          <cell r="A605" t="str">
            <v>D-T-ELC-Bus_c_S1</v>
          </cell>
          <cell r="B605" t="str">
            <v>VAR_fin</v>
          </cell>
          <cell r="C605" t="str">
            <v>TELC</v>
          </cell>
          <cell r="D605">
            <v>3.875660595038851E-4</v>
          </cell>
          <cell r="E605">
            <v>5.869242684889205E-4</v>
          </cell>
          <cell r="F605">
            <v>8.335979885927522E-4</v>
          </cell>
          <cell r="G605">
            <v>0.13761452479769828</v>
          </cell>
          <cell r="H605">
            <v>0.1292206373309287</v>
          </cell>
          <cell r="I605">
            <v>9.1610733019698617E-2</v>
          </cell>
        </row>
        <row r="606">
          <cell r="A606" t="str">
            <v>D-T-ELC-Bus_c_S1</v>
          </cell>
          <cell r="B606" t="str">
            <v>VAR_ncap</v>
          </cell>
          <cell r="C606" t="str">
            <v>-</v>
          </cell>
          <cell r="D606">
            <v>5.2811258368187799E-5</v>
          </cell>
          <cell r="E606">
            <v>2.0692918826359399E-5</v>
          </cell>
          <cell r="F606">
            <v>3.2650111795162003E-5</v>
          </cell>
          <cell r="G606">
            <v>1.7143714469898499E-2</v>
          </cell>
          <cell r="H606">
            <v>1.25242828710561E-2</v>
          </cell>
          <cell r="I606">
            <v>4.5882253072743601E-3</v>
          </cell>
        </row>
        <row r="607">
          <cell r="A607" t="str">
            <v>D-T-ELC-Bus_c_S1</v>
          </cell>
          <cell r="B607" t="str">
            <v>VAR_cap</v>
          </cell>
          <cell r="C607" t="str">
            <v>-</v>
          </cell>
          <cell r="D607">
            <v>5.2811258368187799E-5</v>
          </cell>
          <cell r="E607">
            <v>7.3504177194547195E-5</v>
          </cell>
          <cell r="F607">
            <v>1.0615428898970899E-4</v>
          </cell>
          <cell r="G607">
            <v>1.7232957609797501E-2</v>
          </cell>
          <cell r="H607">
            <v>1.5694139961384499E-2</v>
          </cell>
          <cell r="I607">
            <v>1.08926172168926E-2</v>
          </cell>
        </row>
        <row r="608">
          <cell r="A608" t="str">
            <v>T_C-HY-GSL-S4</v>
          </cell>
          <cell r="B608" t="str">
            <v>VAR_fout</v>
          </cell>
          <cell r="C608" t="str">
            <v>CO2_T</v>
          </cell>
          <cell r="D608">
            <v>6.6894652104161789</v>
          </cell>
          <cell r="E608">
            <v>9.9966161197834662</v>
          </cell>
          <cell r="F608">
            <v>9.7868297150386336</v>
          </cell>
          <cell r="G608">
            <v>8.2091289849376015</v>
          </cell>
          <cell r="H608">
            <v>0.19943933134681829</v>
          </cell>
          <cell r="I608">
            <v>5.5295031379947901E-2</v>
          </cell>
        </row>
        <row r="609">
          <cell r="A609" t="str">
            <v>T_C-HY-GSL-S4</v>
          </cell>
          <cell r="B609" t="str">
            <v>VAR_fout</v>
          </cell>
          <cell r="C609" t="str">
            <v>TPCAR</v>
          </cell>
          <cell r="D609">
            <v>0.10371651920629943</v>
          </cell>
          <cell r="E609">
            <v>0.17973085394952795</v>
          </cell>
          <cell r="F609">
            <v>0.17527925697372107</v>
          </cell>
          <cell r="G609">
            <v>0.14782362277745764</v>
          </cell>
          <cell r="H609">
            <v>1.9867496692189748E-3</v>
          </cell>
          <cell r="I609">
            <v>5.2622013837742181E-4</v>
          </cell>
        </row>
        <row r="610">
          <cell r="A610" t="str">
            <v>T_C-HY-GSL-S4</v>
          </cell>
          <cell r="B610" t="str">
            <v>VAR_fin</v>
          </cell>
          <cell r="C610" t="str">
            <v>TGSL</v>
          </cell>
          <cell r="D610">
            <v>9.0643160032739603E-2</v>
          </cell>
          <cell r="E610">
            <v>0.13545550297809608</v>
          </cell>
          <cell r="F610">
            <v>0.13261286876746131</v>
          </cell>
          <cell r="G610">
            <v>0.1112348100940056</v>
          </cell>
          <cell r="H610">
            <v>2.7024299640490304E-3</v>
          </cell>
          <cell r="I610">
            <v>7.4925516774997103E-4</v>
          </cell>
        </row>
        <row r="611">
          <cell r="A611" t="str">
            <v>T_C-HY-GSL-S4</v>
          </cell>
          <cell r="B611" t="str">
            <v>VAR_ncap</v>
          </cell>
          <cell r="C611" t="str">
            <v>-</v>
          </cell>
          <cell r="E611">
            <v>8.0281580151054502E-5</v>
          </cell>
          <cell r="F611">
            <v>2.7805442346410999E-4</v>
          </cell>
          <cell r="G611">
            <v>6.1716224593256702E-5</v>
          </cell>
          <cell r="H611">
            <v>7.2587449916003001E-5</v>
          </cell>
        </row>
        <row r="612">
          <cell r="A612" t="str">
            <v>T_C-HY-GSL-S4</v>
          </cell>
          <cell r="B612" t="str">
            <v>VAR_cap</v>
          </cell>
          <cell r="C612" t="str">
            <v>-</v>
          </cell>
          <cell r="D612">
            <v>8.3199132336431586E-3</v>
          </cell>
          <cell r="E612">
            <v>1.4158292988714068E-2</v>
          </cell>
          <cell r="F612">
            <v>1.3850381352091641E-2</v>
          </cell>
          <cell r="G612">
            <v>1.1651618191967014E-2</v>
          </cell>
          <cell r="H612">
            <v>1.7523110278336852E-4</v>
          </cell>
          <cell r="I612">
            <v>5.3923777507868057E-5</v>
          </cell>
        </row>
        <row r="613">
          <cell r="A613" t="str">
            <v>T_C-HY-DSL-S3</v>
          </cell>
          <cell r="B613" t="str">
            <v>VAR_fout</v>
          </cell>
          <cell r="C613" t="str">
            <v>CO2_T</v>
          </cell>
          <cell r="D613">
            <v>2.1127045396331594</v>
          </cell>
          <cell r="E613">
            <v>14.322829077139534</v>
          </cell>
          <cell r="F613">
            <v>13.712317142507763</v>
          </cell>
          <cell r="G613">
            <v>10.91322430724021</v>
          </cell>
          <cell r="H613">
            <v>0.13838439983613499</v>
          </cell>
          <cell r="I613">
            <v>3.4728332936013698E-2</v>
          </cell>
        </row>
        <row r="614">
          <cell r="A614" t="str">
            <v>T_C-HY-DSL-S3</v>
          </cell>
          <cell r="B614" t="str">
            <v>VAR_fout</v>
          </cell>
          <cell r="C614" t="str">
            <v>TPCAR</v>
          </cell>
          <cell r="D614">
            <v>2.5944462189449215E-2</v>
          </cell>
          <cell r="E614">
            <v>0.2994650517036197</v>
          </cell>
          <cell r="F614">
            <v>0.28568702589319422</v>
          </cell>
          <cell r="G614">
            <v>0.22981308953828777</v>
          </cell>
          <cell r="H614">
            <v>1.4175153641067019E-3</v>
          </cell>
          <cell r="I614">
            <v>3.3592971502016553E-4</v>
          </cell>
        </row>
        <row r="615">
          <cell r="A615" t="str">
            <v>T_C-HY-DSL-S3</v>
          </cell>
          <cell r="B615" t="str">
            <v>VAR_fin</v>
          </cell>
          <cell r="C615" t="str">
            <v>TDSL</v>
          </cell>
          <cell r="D615">
            <v>2.8822708589811147E-2</v>
          </cell>
          <cell r="E615">
            <v>0.19540012383546485</v>
          </cell>
          <cell r="F615">
            <v>0.18707117520474487</v>
          </cell>
          <cell r="G615">
            <v>0.14888436981228101</v>
          </cell>
          <cell r="H615">
            <v>1.8879181423756481E-3</v>
          </cell>
          <cell r="I615">
            <v>4.7378353255134615E-4</v>
          </cell>
        </row>
        <row r="616">
          <cell r="A616" t="str">
            <v>T_C-HY-DSL-S3</v>
          </cell>
          <cell r="B616" t="str">
            <v>VAR_ncap</v>
          </cell>
          <cell r="C616" t="str">
            <v>-</v>
          </cell>
          <cell r="E616">
            <v>1.71479363948858E-2</v>
          </cell>
          <cell r="F616">
            <v>2.1181714850406001E-4</v>
          </cell>
          <cell r="G616">
            <v>4.3699336214089002E-5</v>
          </cell>
          <cell r="H616">
            <v>3.1577782318816803E-5</v>
          </cell>
        </row>
        <row r="617">
          <cell r="A617" t="str">
            <v>T_C-HY-DSL-S3</v>
          </cell>
          <cell r="B617" t="str">
            <v>VAR_cap</v>
          </cell>
          <cell r="C617" t="str">
            <v>-</v>
          </cell>
          <cell r="D617">
            <v>1.8560953781145181E-3</v>
          </cell>
          <cell r="E617">
            <v>2.0593954517278898E-2</v>
          </cell>
          <cell r="F617">
            <v>1.9658145321912662E-2</v>
          </cell>
          <cell r="G617">
            <v>1.5807896602333549E-2</v>
          </cell>
          <cell r="H617">
            <v>1.0656955864958573E-4</v>
          </cell>
          <cell r="I617">
            <v>2.8226698447535373E-5</v>
          </cell>
        </row>
        <row r="618">
          <cell r="A618" t="str">
            <v>D-T-ELC-Bus_c_S2</v>
          </cell>
          <cell r="B618" t="str">
            <v>VAR_fout</v>
          </cell>
          <cell r="C618" t="str">
            <v>T-ELC-Bus_c_BatSTGin_S2</v>
          </cell>
          <cell r="D618">
            <v>7.0946221072150687E-4</v>
          </cell>
          <cell r="E618">
            <v>7.9015521161796725E-4</v>
          </cell>
          <cell r="F618">
            <v>1.1164353490926073E-3</v>
          </cell>
          <cell r="G618">
            <v>0.13472992915248691</v>
          </cell>
          <cell r="H618">
            <v>0.13001730408768128</v>
          </cell>
          <cell r="I618">
            <v>0.13424832804526712</v>
          </cell>
        </row>
        <row r="619">
          <cell r="A619" t="str">
            <v>D-T-ELC-Bus_c_S2</v>
          </cell>
          <cell r="B619" t="str">
            <v>VAR_fin</v>
          </cell>
          <cell r="C619" t="str">
            <v>TELC</v>
          </cell>
          <cell r="D619">
            <v>7.0946221072150687E-4</v>
          </cell>
          <cell r="E619">
            <v>7.9015521161796725E-4</v>
          </cell>
          <cell r="F619">
            <v>1.1164353490926073E-3</v>
          </cell>
          <cell r="G619">
            <v>0.13472992915248691</v>
          </cell>
          <cell r="H619">
            <v>0.13001730408768128</v>
          </cell>
          <cell r="I619">
            <v>0.13424832804526712</v>
          </cell>
        </row>
        <row r="620">
          <cell r="A620" t="str">
            <v>D-T-ELC-Bus_c_S2</v>
          </cell>
          <cell r="B620" t="str">
            <v>VAR_ncap</v>
          </cell>
          <cell r="C620" t="str">
            <v>-</v>
          </cell>
          <cell r="D620">
            <v>8.3039769496823603E-5</v>
          </cell>
          <cell r="E620">
            <v>1.9224055867421499E-5</v>
          </cell>
          <cell r="F620">
            <v>3.3834642314288503E-5</v>
          </cell>
          <cell r="G620">
            <v>1.6821346712284999E-2</v>
          </cell>
          <cell r="H620">
            <v>1.26495487889651E-2</v>
          </cell>
          <cell r="I620">
            <v>1.0536574752157E-2</v>
          </cell>
        </row>
        <row r="621">
          <cell r="A621" t="str">
            <v>D-T-ELC-Bus_c_S2</v>
          </cell>
          <cell r="B621" t="str">
            <v>VAR_cap</v>
          </cell>
          <cell r="C621" t="str">
            <v>-</v>
          </cell>
          <cell r="D621">
            <v>8.3039769496823603E-5</v>
          </cell>
          <cell r="E621">
            <v>1.02263825364245E-4</v>
          </cell>
          <cell r="F621">
            <v>1.36098467678534E-4</v>
          </cell>
          <cell r="G621">
            <v>1.6932618240900699E-2</v>
          </cell>
          <cell r="H621">
            <v>1.6037350448590001E-2</v>
          </cell>
          <cell r="I621">
            <v>1.6952055097385701E-2</v>
          </cell>
        </row>
        <row r="622">
          <cell r="A622" t="str">
            <v>T_C-HY-DSL-S4</v>
          </cell>
          <cell r="B622" t="str">
            <v>VAR_fout</v>
          </cell>
          <cell r="C622" t="str">
            <v>CO2_T</v>
          </cell>
          <cell r="D622">
            <v>2.5720597250536894</v>
          </cell>
          <cell r="E622">
            <v>35.223891953993991</v>
          </cell>
          <cell r="F622">
            <v>33.950640953452492</v>
          </cell>
          <cell r="G622">
            <v>27.47527920522452</v>
          </cell>
          <cell r="H622">
            <v>0.23785685072843038</v>
          </cell>
          <cell r="I622">
            <v>5.3987330822802104E-2</v>
          </cell>
        </row>
        <row r="623">
          <cell r="A623" t="str">
            <v>T_C-HY-DSL-S4</v>
          </cell>
          <cell r="B623" t="str">
            <v>VAR_fout</v>
          </cell>
          <cell r="C623" t="str">
            <v>TPCAR</v>
          </cell>
          <cell r="D623">
            <v>4.7221724014681533E-2</v>
          </cell>
          <cell r="E623">
            <v>0.79599095584263735</v>
          </cell>
          <cell r="F623">
            <v>0.76416797483159804</v>
          </cell>
          <cell r="G623">
            <v>0.61904151607312607</v>
          </cell>
          <cell r="H623">
            <v>2.7108915706784828E-3</v>
          </cell>
          <cell r="I623">
            <v>5.1684922799022696E-4</v>
          </cell>
        </row>
        <row r="624">
          <cell r="A624" t="str">
            <v>T_C-HY-DSL-S4</v>
          </cell>
          <cell r="B624" t="str">
            <v>VAR_fin</v>
          </cell>
          <cell r="C624" t="str">
            <v>TDSL</v>
          </cell>
          <cell r="D624">
            <v>3.5089491474129465E-2</v>
          </cell>
          <cell r="E624">
            <v>0.48054422856744805</v>
          </cell>
          <cell r="F624">
            <v>0.46317381928311646</v>
          </cell>
          <cell r="G624">
            <v>0.37483327701534186</v>
          </cell>
          <cell r="H624">
            <v>3.2449774997057347E-3</v>
          </cell>
          <cell r="I624">
            <v>7.3652565924695957E-4</v>
          </cell>
        </row>
        <row r="625">
          <cell r="A625" t="str">
            <v>T_C-HY-DSL-S4</v>
          </cell>
          <cell r="B625" t="str">
            <v>VAR_ncap</v>
          </cell>
          <cell r="C625" t="str">
            <v>-</v>
          </cell>
          <cell r="E625">
            <v>5.4638350935115099E-2</v>
          </cell>
          <cell r="F625">
            <v>1.01806824388461E-3</v>
          </cell>
          <cell r="G625">
            <v>6.0715138689652601E-5</v>
          </cell>
          <cell r="H625">
            <v>7.0960092181949396E-5</v>
          </cell>
        </row>
        <row r="626">
          <cell r="A626" t="str">
            <v>T_C-HY-DSL-S4</v>
          </cell>
          <cell r="B626" t="str">
            <v>VAR_cap</v>
          </cell>
          <cell r="C626" t="str">
            <v>-</v>
          </cell>
          <cell r="D626">
            <v>3.7726979196356946E-3</v>
          </cell>
          <cell r="E626">
            <v>6.2680742696625949E-2</v>
          </cell>
          <cell r="F626">
            <v>6.0191315736865605E-2</v>
          </cell>
          <cell r="G626">
            <v>4.8752312387718058E-2</v>
          </cell>
          <cell r="H626">
            <v>2.3455593167278881E-4</v>
          </cell>
          <cell r="I626">
            <v>5.2946018992507E-5</v>
          </cell>
        </row>
        <row r="627">
          <cell r="A627" t="str">
            <v>D-T-ELC-Bus_c_S3</v>
          </cell>
          <cell r="B627" t="str">
            <v>VAR_fout</v>
          </cell>
          <cell r="C627" t="str">
            <v>T-ELC-Bus_c_BatSTGin_S3</v>
          </cell>
          <cell r="D627">
            <v>3.8052295936791112E-4</v>
          </cell>
          <cell r="E627">
            <v>6.3134743531219296E-4</v>
          </cell>
          <cell r="F627">
            <v>8.0004300665357337E-4</v>
          </cell>
          <cell r="G627">
            <v>1.6766326967278418E-3</v>
          </cell>
          <cell r="H627">
            <v>2.8582341681750597E-3</v>
          </cell>
          <cell r="I627">
            <v>2.1813289812520679E-2</v>
          </cell>
        </row>
        <row r="628">
          <cell r="A628" t="str">
            <v>D-T-ELC-Bus_c_S3</v>
          </cell>
          <cell r="B628" t="str">
            <v>VAR_fin</v>
          </cell>
          <cell r="C628" t="str">
            <v>TELC</v>
          </cell>
          <cell r="D628">
            <v>3.8052295936791112E-4</v>
          </cell>
          <cell r="E628">
            <v>6.3134743531219296E-4</v>
          </cell>
          <cell r="F628">
            <v>8.0004300665357337E-4</v>
          </cell>
          <cell r="G628">
            <v>1.6766326967278418E-3</v>
          </cell>
          <cell r="H628">
            <v>2.8582341681750597E-3</v>
          </cell>
          <cell r="I628">
            <v>2.1813289812520679E-2</v>
          </cell>
        </row>
        <row r="629">
          <cell r="A629" t="str">
            <v>D-T-ELC-Bus_c_S3</v>
          </cell>
          <cell r="B629" t="str">
            <v>VAR_ncap</v>
          </cell>
          <cell r="C629" t="str">
            <v>-</v>
          </cell>
          <cell r="D629">
            <v>5.22979273814138E-5</v>
          </cell>
          <cell r="E629">
            <v>2.37855968247664E-5</v>
          </cell>
          <cell r="F629">
            <v>2.0313970979546698E-5</v>
          </cell>
          <cell r="G629">
            <v>1.5772552063192499E-4</v>
          </cell>
          <cell r="H629">
            <v>2.5726553534612199E-4</v>
          </cell>
          <cell r="I629">
            <v>2.6139472951694702E-3</v>
          </cell>
        </row>
        <row r="630">
          <cell r="A630" t="str">
            <v>D-T-ELC-Bus_c_S3</v>
          </cell>
          <cell r="B630" t="str">
            <v>VAR_cap</v>
          </cell>
          <cell r="C630" t="str">
            <v>-</v>
          </cell>
          <cell r="D630">
            <v>5.22979273814138E-5</v>
          </cell>
          <cell r="E630">
            <v>7.6083524206180196E-5</v>
          </cell>
          <cell r="F630">
            <v>9.6397495185726901E-5</v>
          </cell>
          <cell r="G630">
            <v>2.15656474117375E-4</v>
          </cell>
          <cell r="H630">
            <v>3.7855677139408901E-4</v>
          </cell>
          <cell r="I630">
            <v>2.70206620708058E-3</v>
          </cell>
        </row>
        <row r="631">
          <cell r="A631" t="str">
            <v>D-T-ELC-Bus_c_S4</v>
          </cell>
          <cell r="B631" t="str">
            <v>VAR_fout</v>
          </cell>
          <cell r="C631" t="str">
            <v>T-ELC-Bus_c_BatSTGin_S4</v>
          </cell>
          <cell r="D631">
            <v>1.8637999043760859E-6</v>
          </cell>
          <cell r="E631">
            <v>7.8279066594444965E-5</v>
          </cell>
          <cell r="F631">
            <v>1.6090278758669997E-4</v>
          </cell>
          <cell r="G631">
            <v>4.7134358369094566E-4</v>
          </cell>
          <cell r="H631">
            <v>6.2166352084765792E-4</v>
          </cell>
          <cell r="I631">
            <v>3.2767408444524265E-4</v>
          </cell>
        </row>
        <row r="632">
          <cell r="A632" t="str">
            <v>D-T-ELC-Bus_c_S4</v>
          </cell>
          <cell r="B632" t="str">
            <v>VAR_fin</v>
          </cell>
          <cell r="C632" t="str">
            <v>TELC</v>
          </cell>
          <cell r="D632">
            <v>1.8637999043760859E-6</v>
          </cell>
          <cell r="E632">
            <v>7.8279066594444965E-5</v>
          </cell>
          <cell r="F632">
            <v>1.6090278758669997E-4</v>
          </cell>
          <cell r="G632">
            <v>4.7134358369094566E-4</v>
          </cell>
          <cell r="H632">
            <v>6.2166352084765792E-4</v>
          </cell>
          <cell r="I632">
            <v>3.2767408444524265E-4</v>
          </cell>
        </row>
        <row r="633">
          <cell r="A633" t="str">
            <v>D-T-ELC-Bus_c_S4</v>
          </cell>
          <cell r="B633" t="str">
            <v>VAR_ncap</v>
          </cell>
          <cell r="C633" t="str">
            <v>-</v>
          </cell>
          <cell r="D633">
            <v>1.02319203985684E-5</v>
          </cell>
          <cell r="E633">
            <v>8.7430875278543297E-6</v>
          </cell>
          <cell r="F633">
            <v>1.10824464878438E-5</v>
          </cell>
          <cell r="G633">
            <v>6.8323119217304705E-5</v>
          </cell>
          <cell r="H633">
            <v>8.4029989553398605E-5</v>
          </cell>
          <cell r="I633">
            <v>4.4027135498652301E-5</v>
          </cell>
        </row>
        <row r="634">
          <cell r="A634" t="str">
            <v>D-T-ELC-Bus_c_S4</v>
          </cell>
          <cell r="B634" t="str">
            <v>VAR_cap</v>
          </cell>
          <cell r="C634" t="str">
            <v>-</v>
          </cell>
          <cell r="D634">
            <v>1.02319203985684E-5</v>
          </cell>
          <cell r="E634">
            <v>1.8975007926422699E-5</v>
          </cell>
          <cell r="F634">
            <v>3.0057454414266398E-5</v>
          </cell>
          <cell r="G634">
            <v>8.0658341635230602E-5</v>
          </cell>
          <cell r="H634">
            <v>1.26292997207595E-4</v>
          </cell>
          <cell r="I634">
            <v>5.8773443775652003E-5</v>
          </cell>
        </row>
        <row r="635">
          <cell r="A635" t="str">
            <v>D-TH2O</v>
          </cell>
          <cell r="B635" t="str">
            <v>VAR_fout</v>
          </cell>
          <cell r="C635" t="str">
            <v>TH2O</v>
          </cell>
          <cell r="D635">
            <v>5.1153768807553788E-3</v>
          </cell>
          <cell r="E635">
            <v>1.5944317409601835E-2</v>
          </cell>
          <cell r="F635">
            <v>1.6796429651780739E-2</v>
          </cell>
          <cell r="G635">
            <v>1.6768789397637356E-2</v>
          </cell>
          <cell r="H635">
            <v>8.7508537298168279E-2</v>
          </cell>
          <cell r="I635">
            <v>2.1194730362890417</v>
          </cell>
        </row>
        <row r="636">
          <cell r="A636" t="str">
            <v>D-TH2O</v>
          </cell>
          <cell r="B636" t="str">
            <v>VAR_fin</v>
          </cell>
          <cell r="C636" t="str">
            <v>H2</v>
          </cell>
          <cell r="D636">
            <v>5.1153768807553788E-3</v>
          </cell>
          <cell r="E636">
            <v>1.5944317409601835E-2</v>
          </cell>
          <cell r="F636">
            <v>1.6796429651780739E-2</v>
          </cell>
          <cell r="G636">
            <v>1.6768789397637356E-2</v>
          </cell>
          <cell r="H636">
            <v>8.7508537298168279E-2</v>
          </cell>
          <cell r="I636">
            <v>2.1194730362890417</v>
          </cell>
        </row>
        <row r="637">
          <cell r="A637" t="str">
            <v>D-TH2O</v>
          </cell>
          <cell r="B637" t="str">
            <v>VAR_ncap</v>
          </cell>
          <cell r="C637" t="str">
            <v>-</v>
          </cell>
          <cell r="D637">
            <v>1.04311410806388E-3</v>
          </cell>
          <cell r="E637">
            <v>1.8902324499386999E-3</v>
          </cell>
          <cell r="F637">
            <v>9.4399574314682605E-5</v>
          </cell>
          <cell r="G637">
            <v>6.3723591139387497E-4</v>
          </cell>
          <cell r="H637">
            <v>1.5874248669483601E-2</v>
          </cell>
          <cell r="I637">
            <v>0.43020731132183998</v>
          </cell>
        </row>
        <row r="638">
          <cell r="A638" t="str">
            <v>D-TH2O</v>
          </cell>
          <cell r="B638" t="str">
            <v>VAR_cap</v>
          </cell>
          <cell r="C638" t="str">
            <v>-</v>
          </cell>
          <cell r="D638">
            <v>1.04311410806388E-3</v>
          </cell>
          <cell r="E638">
            <v>2.9333465580025698E-3</v>
          </cell>
          <cell r="F638">
            <v>3.02774613231726E-3</v>
          </cell>
          <cell r="G638">
            <v>3.66498204371113E-3</v>
          </cell>
          <cell r="H638">
            <v>1.9627398963119502E-2</v>
          </cell>
          <cell r="I638">
            <v>0.44983471028496003</v>
          </cell>
        </row>
        <row r="639">
          <cell r="A639" t="str">
            <v>TFHGV-HYBDSL</v>
          </cell>
          <cell r="B639" t="str">
            <v>VAR_fout</v>
          </cell>
          <cell r="C639" t="str">
            <v>CO2_T</v>
          </cell>
          <cell r="E639">
            <v>125.648372005593</v>
          </cell>
          <cell r="F639">
            <v>321.94950773732899</v>
          </cell>
          <cell r="G639">
            <v>786.26823132724633</v>
          </cell>
          <cell r="H639">
            <v>1113.6551716072049</v>
          </cell>
          <cell r="I639">
            <v>206.0095822435637</v>
          </cell>
        </row>
        <row r="640">
          <cell r="A640" t="str">
            <v>TFHGV-HYBDSL</v>
          </cell>
          <cell r="B640" t="str">
            <v>VAR_fout</v>
          </cell>
          <cell r="C640" t="str">
            <v>TFHGV</v>
          </cell>
          <cell r="E640">
            <v>0.28020932937021381</v>
          </cell>
          <cell r="F640">
            <v>0.71798189036728621</v>
          </cell>
          <cell r="G640">
            <v>1.7534623830661695</v>
          </cell>
          <cell r="H640">
            <v>2.4835703304761871</v>
          </cell>
          <cell r="I640">
            <v>0.45942343671382829</v>
          </cell>
        </row>
        <row r="641">
          <cell r="A641" t="str">
            <v>TFHGV-HYBDSL</v>
          </cell>
          <cell r="B641" t="str">
            <v>VAR_fin</v>
          </cell>
          <cell r="C641" t="str">
            <v>TDSL</v>
          </cell>
          <cell r="E641">
            <v>1.714166057375073</v>
          </cell>
          <cell r="F641">
            <v>4.3922170223373733</v>
          </cell>
          <cell r="G641">
            <v>10.726715297779606</v>
          </cell>
          <cell r="H641">
            <v>15.193112845937314</v>
          </cell>
          <cell r="I641">
            <v>2.8104990756284329</v>
          </cell>
        </row>
        <row r="642">
          <cell r="A642" t="str">
            <v>TFHGV-HYBDSL</v>
          </cell>
          <cell r="B642" t="str">
            <v>VAR_ncap</v>
          </cell>
          <cell r="C642" t="str">
            <v>-</v>
          </cell>
          <cell r="E642">
            <v>5.2714234843647704E-3</v>
          </cell>
          <cell r="F642">
            <v>8.2366969730835998E-3</v>
          </cell>
          <cell r="G642">
            <v>2.5359937899611901E-2</v>
          </cell>
          <cell r="H642">
            <v>2.1397576000707699E-2</v>
          </cell>
          <cell r="I642">
            <v>7.13133511574E-3</v>
          </cell>
        </row>
        <row r="643">
          <cell r="A643" t="str">
            <v>TFHGV-HYBDSL</v>
          </cell>
          <cell r="B643" t="str">
            <v>VAR_cap</v>
          </cell>
          <cell r="C643" t="str">
            <v>-</v>
          </cell>
          <cell r="E643">
            <v>5.2714234843647704E-3</v>
          </cell>
          <cell r="F643">
            <v>1.3508120457448401E-2</v>
          </cell>
          <cell r="G643">
            <v>3.2986898278592497E-2</v>
          </cell>
          <cell r="H643">
            <v>4.8760862206099299E-2</v>
          </cell>
          <cell r="I643">
            <v>1.08863665487316E-2</v>
          </cell>
        </row>
        <row r="644">
          <cell r="A644" t="str">
            <v>D-TKER</v>
          </cell>
          <cell r="B644" t="str">
            <v>VAR_fout</v>
          </cell>
          <cell r="C644" t="str">
            <v>CO2</v>
          </cell>
          <cell r="D644">
            <v>80.763254672403804</v>
          </cell>
          <cell r="E644">
            <v>102.299643522715</v>
          </cell>
          <cell r="F644">
            <v>134.604226798182</v>
          </cell>
          <cell r="G644">
            <v>145.070532462367</v>
          </cell>
          <cell r="H644">
            <v>127.06764748231799</v>
          </cell>
          <cell r="I644">
            <v>1.48167854205173E-5</v>
          </cell>
        </row>
        <row r="645">
          <cell r="A645" t="str">
            <v>D-TKER</v>
          </cell>
          <cell r="B645" t="str">
            <v>VAR_fout</v>
          </cell>
          <cell r="C645" t="str">
            <v>TKER</v>
          </cell>
          <cell r="D645">
            <v>1.0930817228491501</v>
          </cell>
          <cell r="E645">
            <v>1.3845636984571901</v>
          </cell>
          <cell r="F645">
            <v>1.82178666186924</v>
          </cell>
          <cell r="G645">
            <v>1.96344176818807</v>
          </cell>
          <cell r="H645">
            <v>1.7197836267465401</v>
          </cell>
          <cell r="I645">
            <v>2.00536214151351E-7</v>
          </cell>
        </row>
        <row r="646">
          <cell r="A646" t="str">
            <v>D-TKER</v>
          </cell>
          <cell r="B646" t="str">
            <v>VAR_fin</v>
          </cell>
          <cell r="C646" t="str">
            <v>KER</v>
          </cell>
          <cell r="D646">
            <v>1.1093853663791744</v>
          </cell>
          <cell r="E646">
            <v>1.4052148835537817</v>
          </cell>
          <cell r="F646">
            <v>1.8489591593156731</v>
          </cell>
          <cell r="G646">
            <v>1.9927270942632898</v>
          </cell>
          <cell r="H646">
            <v>1.7454347181637095</v>
          </cell>
          <cell r="I646">
            <v>2.0352727225985269E-7</v>
          </cell>
        </row>
        <row r="647">
          <cell r="A647" t="str">
            <v>T_B_u-BEVELC-S1</v>
          </cell>
          <cell r="B647" t="str">
            <v>VAR_fout</v>
          </cell>
          <cell r="C647" t="str">
            <v>TPBSu</v>
          </cell>
          <cell r="D647">
            <v>1.3660662028333562E-7</v>
          </cell>
          <cell r="E647">
            <v>3.7976136153539044E-4</v>
          </cell>
          <cell r="F647">
            <v>8.0007317546470331E-4</v>
          </cell>
          <cell r="G647">
            <v>0.10961515241519508</v>
          </cell>
          <cell r="H647">
            <v>0.11882560669975993</v>
          </cell>
          <cell r="I647">
            <v>5.7581588849649076E-2</v>
          </cell>
        </row>
        <row r="648">
          <cell r="A648" t="str">
            <v>T_B_u-BEVELC-S1</v>
          </cell>
          <cell r="B648" t="str">
            <v>VAR_fin</v>
          </cell>
          <cell r="C648" t="str">
            <v>T-ELC-Bus_u_BatSTGout_S1</v>
          </cell>
          <cell r="D648">
            <v>3.6073162693215954E-7</v>
          </cell>
          <cell r="E648">
            <v>9.6774754143838439E-4</v>
          </cell>
          <cell r="F648">
            <v>1.9848093152954344E-3</v>
          </cell>
          <cell r="G648">
            <v>0.24507774216355904</v>
          </cell>
          <cell r="H648">
            <v>0.25164739035113365</v>
          </cell>
          <cell r="I648">
            <v>0.11219931452141051</v>
          </cell>
        </row>
        <row r="649">
          <cell r="A649" t="str">
            <v>T_B_u-BEVELC-S1</v>
          </cell>
          <cell r="B649" t="str">
            <v>VAR_ncap</v>
          </cell>
          <cell r="C649" t="str">
            <v>-</v>
          </cell>
          <cell r="E649">
            <v>7.3352115489833998E-6</v>
          </cell>
          <cell r="F649">
            <v>8.3170205702257699E-6</v>
          </cell>
          <cell r="G649">
            <v>2.3876425364363898E-3</v>
          </cell>
          <cell r="H649">
            <v>1.12930326511662E-4</v>
          </cell>
          <cell r="I649">
            <v>6.5937932496795497E-4</v>
          </cell>
        </row>
        <row r="650">
          <cell r="A650" t="str">
            <v>T_B_u-BEVELC-S1</v>
          </cell>
          <cell r="B650" t="str">
            <v>VAR_cap</v>
          </cell>
          <cell r="C650" t="str">
            <v>-</v>
          </cell>
          <cell r="D650">
            <v>3.02390998593531E-8</v>
          </cell>
          <cell r="E650">
            <v>7.3767024069299537E-6</v>
          </cell>
          <cell r="F650">
            <v>1.5653497986364423E-5</v>
          </cell>
          <cell r="G650">
            <v>2.3925146691416879E-3</v>
          </cell>
          <cell r="H650">
            <v>2.5932482921617382E-3</v>
          </cell>
          <cell r="I650">
            <v>1.1510369748965544E-3</v>
          </cell>
        </row>
        <row r="651">
          <cell r="A651" t="str">
            <v>TPSHPH2OEXT</v>
          </cell>
          <cell r="B651" t="str">
            <v>VAR_fout</v>
          </cell>
          <cell r="C651" t="str">
            <v>TPSHP</v>
          </cell>
          <cell r="G651">
            <v>1.9030156584197899E-4</v>
          </cell>
          <cell r="H651">
            <v>4.48360100813016E-5</v>
          </cell>
          <cell r="I651">
            <v>9.1783750616009099E-6</v>
          </cell>
        </row>
        <row r="652">
          <cell r="A652" t="str">
            <v>TPSHPH2OEXT</v>
          </cell>
          <cell r="B652" t="str">
            <v>VAR_fin</v>
          </cell>
          <cell r="C652" t="str">
            <v>TH2O</v>
          </cell>
          <cell r="G652">
            <v>1.0610753974219414E-4</v>
          </cell>
          <cell r="H652">
            <v>2.4999472287756002E-5</v>
          </cell>
          <cell r="I652">
            <v>5.1176394282865532E-6</v>
          </cell>
        </row>
        <row r="653">
          <cell r="A653" t="str">
            <v>TPSHPH2OEXT</v>
          </cell>
          <cell r="B653" t="str">
            <v>VAR_ncap</v>
          </cell>
          <cell r="C653" t="str">
            <v>-</v>
          </cell>
          <cell r="G653">
            <v>1.85602249107408E-4</v>
          </cell>
          <cell r="H653">
            <v>3.3907454173517397E-7</v>
          </cell>
          <cell r="I653">
            <v>1.8933364555143701E-7</v>
          </cell>
        </row>
        <row r="654">
          <cell r="A654" t="str">
            <v>TPSHPH2OEXT</v>
          </cell>
          <cell r="B654" t="str">
            <v>VAR_cap</v>
          </cell>
          <cell r="C654" t="str">
            <v>-</v>
          </cell>
          <cell r="G654">
            <v>1.85602249107408E-4</v>
          </cell>
          <cell r="H654">
            <v>7.9310633877016385E-8</v>
          </cell>
          <cell r="I654">
            <v>1.1737402695880439E-7</v>
          </cell>
        </row>
        <row r="655">
          <cell r="A655" t="str">
            <v>T_B_u-BEVELC-S2</v>
          </cell>
          <cell r="B655" t="str">
            <v>VAR_fout</v>
          </cell>
          <cell r="C655" t="str">
            <v>TPBSu</v>
          </cell>
          <cell r="D655">
            <v>3.271351275042424E-4</v>
          </cell>
          <cell r="E655">
            <v>5.847862686069738E-4</v>
          </cell>
          <cell r="F655">
            <v>9.1955761584882256E-4</v>
          </cell>
          <cell r="G655">
            <v>3.9451000346049016E-2</v>
          </cell>
          <cell r="H655">
            <v>4.278655365331429E-2</v>
          </cell>
          <cell r="I655">
            <v>4.5794275186677558E-2</v>
          </cell>
        </row>
        <row r="656">
          <cell r="A656" t="str">
            <v>T_B_u-BEVELC-S2</v>
          </cell>
          <cell r="B656" t="str">
            <v>VAR_fin</v>
          </cell>
          <cell r="C656" t="str">
            <v>T-ELC-Bus_u_BatSTGout_S2</v>
          </cell>
          <cell r="D656">
            <v>1.1888011099686696E-3</v>
          </cell>
          <cell r="E656">
            <v>2.1041008751691544E-3</v>
          </cell>
          <cell r="F656">
            <v>3.2220467853207352E-3</v>
          </cell>
          <cell r="G656">
            <v>0.12182408297648882</v>
          </cell>
          <cell r="H656">
            <v>0.12457955434548436</v>
          </cell>
          <cell r="I656">
            <v>0.11985459919550456</v>
          </cell>
        </row>
        <row r="657">
          <cell r="A657" t="str">
            <v>T_B_u-BEVELC-S2</v>
          </cell>
          <cell r="B657" t="str">
            <v>VAR_ncap</v>
          </cell>
          <cell r="C657" t="str">
            <v>-</v>
          </cell>
          <cell r="E657">
            <v>1.7867629353044699E-6</v>
          </cell>
          <cell r="F657">
            <v>6.3398244997534103E-6</v>
          </cell>
          <cell r="G657">
            <v>7.3361456048628905E-4</v>
          </cell>
          <cell r="H657">
            <v>1.04844849257337E-4</v>
          </cell>
          <cell r="I657">
            <v>6.8834959046790102E-4</v>
          </cell>
        </row>
        <row r="658">
          <cell r="A658" t="str">
            <v>T_B_u-BEVELC-S2</v>
          </cell>
          <cell r="B658" t="str">
            <v>VAR_cap</v>
          </cell>
          <cell r="C658" t="str">
            <v>-</v>
          </cell>
          <cell r="D658">
            <v>6.5566093043908201E-6</v>
          </cell>
          <cell r="E658">
            <v>1.1237772760433191E-5</v>
          </cell>
          <cell r="F658">
            <v>1.7590297516315809E-5</v>
          </cell>
          <cell r="G658">
            <v>7.4424915631756002E-4</v>
          </cell>
          <cell r="H658">
            <v>8.0742998829943298E-4</v>
          </cell>
          <cell r="I658">
            <v>8.6392178925235891E-4</v>
          </cell>
        </row>
        <row r="659">
          <cell r="A659" t="str">
            <v>TFHGV-ICEDSL</v>
          </cell>
          <cell r="B659" t="str">
            <v>VAR_fout</v>
          </cell>
          <cell r="C659" t="str">
            <v>CO2_T</v>
          </cell>
          <cell r="D659">
            <v>380.92783027361321</v>
          </cell>
          <cell r="E659">
            <v>368.47296556864552</v>
          </cell>
          <cell r="F659">
            <v>323.71315800016816</v>
          </cell>
          <cell r="G659">
            <v>32.252323063581542</v>
          </cell>
          <cell r="H659">
            <v>0.232944317980156</v>
          </cell>
          <cell r="I659">
            <v>3.6309309254088699E-2</v>
          </cell>
        </row>
        <row r="660">
          <cell r="A660" t="str">
            <v>TFHGV-ICEDSL</v>
          </cell>
          <cell r="B660" t="str">
            <v>VAR_fout</v>
          </cell>
          <cell r="C660" t="str">
            <v>TFHGV</v>
          </cell>
          <cell r="D660">
            <v>0.61688229740474698</v>
          </cell>
          <cell r="E660">
            <v>0.5967126354833614</v>
          </cell>
          <cell r="F660">
            <v>0.52422769022639892</v>
          </cell>
          <cell r="G660">
            <v>5.223006975838821E-2</v>
          </cell>
          <cell r="H660">
            <v>3.7723477945878576E-4</v>
          </cell>
          <cell r="I660">
            <v>5.8800035937918344E-5</v>
          </cell>
        </row>
        <row r="661">
          <cell r="A661" t="str">
            <v>TFHGV-ICEDSL</v>
          </cell>
          <cell r="B661" t="str">
            <v>VAR_fin</v>
          </cell>
          <cell r="C661" t="str">
            <v>TDSL</v>
          </cell>
          <cell r="D661">
            <v>5.1968326094626596</v>
          </cell>
          <cell r="E661">
            <v>5.026916310622715</v>
          </cell>
          <cell r="F661">
            <v>4.4162777353365277</v>
          </cell>
          <cell r="G661">
            <v>0.44000440741584668</v>
          </cell>
          <cell r="H661">
            <v>3.1779579533445499E-3</v>
          </cell>
          <cell r="I661">
            <v>4.9535210442140155E-4</v>
          </cell>
        </row>
        <row r="662">
          <cell r="A662" t="str">
            <v>TFHGV-ICEDSL</v>
          </cell>
          <cell r="B662" t="str">
            <v>VAR_ncap</v>
          </cell>
          <cell r="C662" t="str">
            <v>-</v>
          </cell>
          <cell r="E662">
            <v>1.15555554214985E-6</v>
          </cell>
          <cell r="F662">
            <v>1.9006425568788399E-6</v>
          </cell>
          <cell r="G662">
            <v>1.4644655122336301E-6</v>
          </cell>
          <cell r="H662">
            <v>4.1492477997268003E-6</v>
          </cell>
          <cell r="I662">
            <v>6.4025781054117696E-7</v>
          </cell>
        </row>
        <row r="663">
          <cell r="A663" t="str">
            <v>TFHGV-ICEDSL</v>
          </cell>
          <cell r="B663" t="str">
            <v>VAR_cap</v>
          </cell>
          <cell r="C663" t="str">
            <v>-</v>
          </cell>
          <cell r="D663">
            <v>1.160733051287696E-2</v>
          </cell>
          <cell r="E663">
            <v>1.122600050837712E-2</v>
          </cell>
          <cell r="F663">
            <v>9.8670472386182713E-3</v>
          </cell>
          <cell r="G663">
            <v>9.8305801045585513E-4</v>
          </cell>
          <cell r="H663">
            <v>8.7164256979279505E-6</v>
          </cell>
          <cell r="I663">
            <v>1.3666101261020195E-6</v>
          </cell>
        </row>
        <row r="664">
          <cell r="A664" t="str">
            <v>D-T-ELC-Bus_u_S1</v>
          </cell>
          <cell r="B664" t="str">
            <v>VAR_fout</v>
          </cell>
          <cell r="C664" t="str">
            <v>T-ELC-Bus_u_BatSTGin_S1</v>
          </cell>
          <cell r="D664">
            <v>8.2478192949038408E-6</v>
          </cell>
          <cell r="E664">
            <v>9.8079384843048839E-4</v>
          </cell>
          <cell r="F664">
            <v>2.0017621729143662E-3</v>
          </cell>
          <cell r="G664">
            <v>0.24535028965888162</v>
          </cell>
          <cell r="H664">
            <v>0.25197848907103865</v>
          </cell>
          <cell r="I664">
            <v>0.11245584747342141</v>
          </cell>
        </row>
        <row r="665">
          <cell r="A665" t="str">
            <v>D-T-ELC-Bus_u_S1</v>
          </cell>
          <cell r="B665" t="str">
            <v>VAR_fin</v>
          </cell>
          <cell r="C665" t="str">
            <v>TELC</v>
          </cell>
          <cell r="D665">
            <v>8.2478192949038408E-6</v>
          </cell>
          <cell r="E665">
            <v>9.8079384843048839E-4</v>
          </cell>
          <cell r="F665">
            <v>2.0017621729143662E-3</v>
          </cell>
          <cell r="G665">
            <v>0.24535028965888162</v>
          </cell>
          <cell r="H665">
            <v>0.25197848907103865</v>
          </cell>
          <cell r="I665">
            <v>0.11245584747342141</v>
          </cell>
        </row>
        <row r="666">
          <cell r="A666" t="str">
            <v>D-T-ELC-Bus_u_S1</v>
          </cell>
          <cell r="B666" t="str">
            <v>VAR_ncap</v>
          </cell>
          <cell r="C666" t="str">
            <v>-</v>
          </cell>
          <cell r="D666">
            <v>1.7923965300500799E-4</v>
          </cell>
          <cell r="E666">
            <v>1.85151006564804E-4</v>
          </cell>
          <cell r="F666">
            <v>4.2940231242471799E-4</v>
          </cell>
          <cell r="G666">
            <v>2.5213943989095801E-2</v>
          </cell>
          <cell r="H666">
            <v>2.1778154134494399E-2</v>
          </cell>
          <cell r="I666">
            <v>8.9708878079315603E-4</v>
          </cell>
        </row>
        <row r="667">
          <cell r="A667" t="str">
            <v>D-T-ELC-Bus_u_S1</v>
          </cell>
          <cell r="B667" t="str">
            <v>VAR_cap</v>
          </cell>
          <cell r="C667" t="str">
            <v>-</v>
          </cell>
          <cell r="D667">
            <v>1.7923965300500799E-4</v>
          </cell>
          <cell r="E667">
            <v>3.6439065956981199E-4</v>
          </cell>
          <cell r="F667">
            <v>7.9379297199452901E-4</v>
          </cell>
          <cell r="G667">
            <v>2.5935114718769098E-2</v>
          </cell>
          <cell r="H667">
            <v>2.66363859937696E-2</v>
          </cell>
          <cell r="I667">
            <v>1.18877906533319E-2</v>
          </cell>
        </row>
        <row r="668">
          <cell r="A668" t="str">
            <v>T-Plg-DSL-mix_S1</v>
          </cell>
          <cell r="B668" t="str">
            <v>VAR_fout</v>
          </cell>
          <cell r="C668" t="str">
            <v>CO2_T</v>
          </cell>
          <cell r="D668">
            <v>1.2829220579807399E-3</v>
          </cell>
          <cell r="E668">
            <v>0.1078258315288957</v>
          </cell>
          <cell r="F668">
            <v>0.1055201793776421</v>
          </cell>
          <cell r="G668">
            <v>0.10367222281283833</v>
          </cell>
          <cell r="H668">
            <v>8.2465950228902546E-2</v>
          </cell>
          <cell r="I668">
            <v>3.7460138860374026E-2</v>
          </cell>
        </row>
        <row r="669">
          <cell r="A669" t="str">
            <v>T-Plg-DSL-mix_S1</v>
          </cell>
          <cell r="B669" t="str">
            <v>VAR_fout</v>
          </cell>
          <cell r="C669" t="str">
            <v>T-PEVmix-ELC_DSL_S1</v>
          </cell>
          <cell r="D669">
            <v>1.2748809472488837E-5</v>
          </cell>
          <cell r="E669">
            <v>1.0714999978550593E-3</v>
          </cell>
          <cell r="F669">
            <v>1.0485879902211483E-3</v>
          </cell>
          <cell r="G669">
            <v>1.0302242509654693E-3</v>
          </cell>
          <cell r="H669">
            <v>8.708819483786664E-4</v>
          </cell>
          <cell r="I669">
            <v>4.3749044361081606E-4</v>
          </cell>
        </row>
        <row r="670">
          <cell r="A670" t="str">
            <v>T-Plg-DSL-mix_S1</v>
          </cell>
          <cell r="B670" t="str">
            <v>VAR_fin</v>
          </cell>
          <cell r="C670" t="str">
            <v>TDSL</v>
          </cell>
          <cell r="D670">
            <v>1.7502347312151985E-5</v>
          </cell>
          <cell r="E670">
            <v>1.4710208939822072E-3</v>
          </cell>
          <cell r="F670">
            <v>1.4395658850974375E-3</v>
          </cell>
          <cell r="G670">
            <v>1.4143550179104814E-3</v>
          </cell>
          <cell r="H670">
            <v>1.1250470699713851E-3</v>
          </cell>
          <cell r="I670">
            <v>5.1105237190141918E-4</v>
          </cell>
        </row>
        <row r="671">
          <cell r="A671" t="str">
            <v>T_B_u-BEVELC-S3</v>
          </cell>
          <cell r="B671" t="str">
            <v>VAR_fout</v>
          </cell>
          <cell r="C671" t="str">
            <v>TPBSu</v>
          </cell>
          <cell r="D671">
            <v>6.8598960085252889E-4</v>
          </cell>
          <cell r="E671">
            <v>1.0220325074117719E-3</v>
          </cell>
          <cell r="F671">
            <v>1.1711203967401124E-3</v>
          </cell>
          <cell r="G671">
            <v>0.1266651340518499</v>
          </cell>
          <cell r="H671">
            <v>0.12446722065286986</v>
          </cell>
          <cell r="I671">
            <v>0.19797432297927597</v>
          </cell>
        </row>
        <row r="672">
          <cell r="A672" t="str">
            <v>T_B_u-BEVELC-S3</v>
          </cell>
          <cell r="B672" t="str">
            <v>VAR_fin</v>
          </cell>
          <cell r="C672" t="str">
            <v>T-ELC-Bus_u_BatSTGout_S3</v>
          </cell>
          <cell r="D672">
            <v>3.7491833329563631E-3</v>
          </cell>
          <cell r="E672">
            <v>5.5081114101922183E-3</v>
          </cell>
          <cell r="F672">
            <v>6.2568834523559413E-3</v>
          </cell>
          <cell r="G672">
            <v>0.58682702970365563</v>
          </cell>
          <cell r="H672">
            <v>0.52700825601431045</v>
          </cell>
          <cell r="I672">
            <v>0.76710128433238256</v>
          </cell>
        </row>
        <row r="673">
          <cell r="A673" t="str">
            <v>T_B_u-BEVELC-S3</v>
          </cell>
          <cell r="B673" t="str">
            <v>VAR_ncap</v>
          </cell>
          <cell r="C673" t="str">
            <v>-</v>
          </cell>
          <cell r="E673">
            <v>1.2201114543608401E-6</v>
          </cell>
          <cell r="F673">
            <v>2.7760211425549798E-6</v>
          </cell>
          <cell r="G673">
            <v>2.3758620594310801E-3</v>
          </cell>
          <cell r="H673">
            <v>1.77823919287402E-3</v>
          </cell>
          <cell r="I673">
            <v>3.1242969767932799E-3</v>
          </cell>
        </row>
        <row r="674">
          <cell r="A674" t="str">
            <v>T_B_u-BEVELC-S3</v>
          </cell>
          <cell r="B674" t="str">
            <v>VAR_cap</v>
          </cell>
          <cell r="C674" t="str">
            <v>-</v>
          </cell>
          <cell r="D674">
            <v>1.7062786280834201E-5</v>
          </cell>
          <cell r="E674">
            <v>1.9397682505664941E-5</v>
          </cell>
          <cell r="F674">
            <v>2.2196969726236619E-5</v>
          </cell>
          <cell r="G674">
            <v>2.3886319634807618E-3</v>
          </cell>
          <cell r="H674">
            <v>2.3472725975552402E-3</v>
          </cell>
          <cell r="I674">
            <v>3.7333816821461399E-3</v>
          </cell>
        </row>
        <row r="675">
          <cell r="A675" t="str">
            <v>D-T-ELC-Bus_u_S2</v>
          </cell>
          <cell r="B675" t="str">
            <v>VAR_fout</v>
          </cell>
          <cell r="C675" t="str">
            <v>T-ELC-Bus_u_BatSTGin_S2</v>
          </cell>
          <cell r="D675">
            <v>1.1656375329536809E-3</v>
          </cell>
          <cell r="E675">
            <v>2.1073103675054005E-3</v>
          </cell>
          <cell r="F675">
            <v>3.2283077301014235E-3</v>
          </cell>
          <cell r="G675">
            <v>0.12203100865906215</v>
          </cell>
          <cell r="H675">
            <v>0.12487163761471065</v>
          </cell>
          <cell r="I675">
            <v>0.12007811279670375</v>
          </cell>
        </row>
        <row r="676">
          <cell r="A676" t="str">
            <v>D-T-ELC-Bus_u_S2</v>
          </cell>
          <cell r="B676" t="str">
            <v>VAR_fin</v>
          </cell>
          <cell r="C676" t="str">
            <v>TELC</v>
          </cell>
          <cell r="D676">
            <v>1.1656375329536809E-3</v>
          </cell>
          <cell r="E676">
            <v>2.1073103675054005E-3</v>
          </cell>
          <cell r="F676">
            <v>3.2283077301014235E-3</v>
          </cell>
          <cell r="G676">
            <v>0.12203100865906215</v>
          </cell>
          <cell r="H676">
            <v>0.12487163761471065</v>
          </cell>
          <cell r="I676">
            <v>0.12007811279670375</v>
          </cell>
        </row>
        <row r="677">
          <cell r="A677" t="str">
            <v>D-T-ELC-Bus_u_S2</v>
          </cell>
          <cell r="B677" t="str">
            <v>VAR_ncap</v>
          </cell>
          <cell r="C677" t="str">
            <v>-</v>
          </cell>
          <cell r="D677">
            <v>1.8678232733164701E-4</v>
          </cell>
          <cell r="E677">
            <v>1.76940558842181E-4</v>
          </cell>
          <cell r="F677">
            <v>3.6535557075399099E-4</v>
          </cell>
          <cell r="G677">
            <v>1.22511909828371E-2</v>
          </cell>
          <cell r="H677">
            <v>1.06266123083177E-2</v>
          </cell>
          <cell r="I677">
            <v>7.2929753528281202E-3</v>
          </cell>
        </row>
        <row r="678">
          <cell r="A678" t="str">
            <v>D-T-ELC-Bus_u_S2</v>
          </cell>
          <cell r="B678" t="str">
            <v>VAR_cap</v>
          </cell>
          <cell r="C678" t="str">
            <v>-</v>
          </cell>
          <cell r="D678">
            <v>1.8678232733164701E-4</v>
          </cell>
          <cell r="E678">
            <v>3.6372288617382797E-4</v>
          </cell>
          <cell r="F678">
            <v>7.2907845692781901E-4</v>
          </cell>
          <cell r="G678">
            <v>1.29067113202421E-2</v>
          </cell>
          <cell r="H678">
            <v>1.3202251147395899E-2</v>
          </cell>
          <cell r="I678">
            <v>1.26934706298223E-2</v>
          </cell>
        </row>
        <row r="679">
          <cell r="A679" t="str">
            <v>T-Plg-DSL-mix_S2</v>
          </cell>
          <cell r="B679" t="str">
            <v>VAR_fout</v>
          </cell>
          <cell r="C679" t="str">
            <v>CO2_T</v>
          </cell>
          <cell r="D679">
            <v>9.7423281478948502E-4</v>
          </cell>
          <cell r="E679">
            <v>6.7744232066330706E-2</v>
          </cell>
          <cell r="F679">
            <v>0.1102931831495909</v>
          </cell>
          <cell r="G679">
            <v>0.20868478756687581</v>
          </cell>
          <cell r="H679">
            <v>15.658677707265305</v>
          </cell>
          <cell r="I679">
            <v>3.5679465620451625</v>
          </cell>
        </row>
        <row r="680">
          <cell r="A680" t="str">
            <v>T-Plg-DSL-mix_S2</v>
          </cell>
          <cell r="B680" t="str">
            <v>VAR_fout</v>
          </cell>
          <cell r="C680" t="str">
            <v>T-PEVmix-ELC_DSL_S2</v>
          </cell>
          <cell r="D680">
            <v>7.915130682871413E-6</v>
          </cell>
          <cell r="E680">
            <v>5.5038635701430325E-4</v>
          </cell>
          <cell r="F680">
            <v>8.9607426972937736E-4</v>
          </cell>
          <cell r="G680">
            <v>1.6954544540526528E-3</v>
          </cell>
          <cell r="H680">
            <v>0.14200079537802704</v>
          </cell>
          <cell r="I680">
            <v>3.6226441148194129E-2</v>
          </cell>
        </row>
        <row r="681">
          <cell r="A681" t="str">
            <v>T-Plg-DSL-mix_S2</v>
          </cell>
          <cell r="B681" t="str">
            <v>VAR_fin</v>
          </cell>
          <cell r="C681" t="str">
            <v>TDSL</v>
          </cell>
          <cell r="D681">
            <v>1.329103430817852E-5</v>
          </cell>
          <cell r="E681">
            <v>9.2420507593902654E-4</v>
          </cell>
          <cell r="F681">
            <v>1.5046818983573108E-3</v>
          </cell>
          <cell r="G681">
            <v>2.8469957376108619E-3</v>
          </cell>
          <cell r="H681">
            <v>0.21362452533786236</v>
          </cell>
          <cell r="I681">
            <v>4.8675942183426482E-2</v>
          </cell>
        </row>
        <row r="682">
          <cell r="A682" t="str">
            <v>T_B_u-BEVELC-S4</v>
          </cell>
          <cell r="B682" t="str">
            <v>VAR_fout</v>
          </cell>
          <cell r="C682" t="str">
            <v>TPBSu</v>
          </cell>
          <cell r="D682">
            <v>2.7833591401571723E-5</v>
          </cell>
          <cell r="E682">
            <v>3.1068558355254455E-5</v>
          </cell>
          <cell r="F682">
            <v>5.5214521826646899E-5</v>
          </cell>
          <cell r="G682">
            <v>2.6085357283782409E-5</v>
          </cell>
          <cell r="H682">
            <v>2.7169417604162493E-5</v>
          </cell>
          <cell r="I682">
            <v>1.0508446055151555E-5</v>
          </cell>
        </row>
        <row r="683">
          <cell r="A683" t="str">
            <v>T_B_u-BEVELC-S4</v>
          </cell>
          <cell r="B683" t="str">
            <v>VAR_fin</v>
          </cell>
          <cell r="C683" t="str">
            <v>T-ELC-Bus_u_BatSTGout_S4</v>
          </cell>
          <cell r="D683">
            <v>2.2816830573105327E-4</v>
          </cell>
          <cell r="E683">
            <v>2.5039123720842747E-4</v>
          </cell>
          <cell r="F683">
            <v>4.3477591935169144E-4</v>
          </cell>
          <cell r="G683">
            <v>1.8893136451373965E-4</v>
          </cell>
          <cell r="H683">
            <v>1.7303492780825267E-4</v>
          </cell>
          <cell r="I683">
            <v>6.2092654193607964E-5</v>
          </cell>
        </row>
        <row r="684">
          <cell r="A684" t="str">
            <v>T_B_u-BEVELC-S4</v>
          </cell>
          <cell r="B684" t="str">
            <v>VAR_ncap</v>
          </cell>
          <cell r="C684" t="str">
            <v>-</v>
          </cell>
          <cell r="E684">
            <v>3.2550968281909099E-7</v>
          </cell>
          <cell r="F684">
            <v>3.1479315941502502E-7</v>
          </cell>
          <cell r="G684">
            <v>3.1604015566949399E-7</v>
          </cell>
          <cell r="H684">
            <v>5.1212598856275299E-7</v>
          </cell>
          <cell r="I684">
            <v>2.15549681661018E-7</v>
          </cell>
        </row>
        <row r="685">
          <cell r="A685" t="str">
            <v>T_B_u-BEVELC-S4</v>
          </cell>
          <cell r="B685" t="str">
            <v>VAR_cap</v>
          </cell>
          <cell r="C685" t="str">
            <v>-</v>
          </cell>
          <cell r="D685">
            <v>4.2334739803094299E-7</v>
          </cell>
          <cell r="E685">
            <v>6.5728258861815891E-7</v>
          </cell>
          <cell r="F685">
            <v>9.1221369625708789E-7</v>
          </cell>
          <cell r="G685">
            <v>4.9963512595694785E-7</v>
          </cell>
          <cell r="H685">
            <v>6.9687303099891998E-7</v>
          </cell>
          <cell r="I685">
            <v>3.0235915031570464E-7</v>
          </cell>
        </row>
        <row r="686">
          <cell r="A686" t="str">
            <v>D-TBDS1</v>
          </cell>
          <cell r="B686" t="str">
            <v>VAR_fout</v>
          </cell>
          <cell r="C686" t="str">
            <v>TDSL</v>
          </cell>
          <cell r="D686">
            <v>2.9709323464766619</v>
          </cell>
          <cell r="E686">
            <v>2.9709293160098822</v>
          </cell>
          <cell r="F686">
            <v>2.9709344874743824</v>
          </cell>
          <cell r="G686">
            <v>2.383917915964024</v>
          </cell>
          <cell r="H686">
            <v>4.4604183438900504</v>
          </cell>
          <cell r="I686">
            <v>26.023088147564422</v>
          </cell>
        </row>
        <row r="687">
          <cell r="A687" t="str">
            <v>D-TBDS1</v>
          </cell>
          <cell r="B687" t="str">
            <v>VAR_fout</v>
          </cell>
          <cell r="C687" t="str">
            <v>TKER</v>
          </cell>
          <cell r="G687">
            <v>0.58705051378482198</v>
          </cell>
          <cell r="H687">
            <v>0.40085157416549599</v>
          </cell>
          <cell r="I687">
            <v>1.6907769135217099</v>
          </cell>
        </row>
        <row r="688">
          <cell r="A688" t="str">
            <v>D-TBDS1</v>
          </cell>
          <cell r="B688" t="str">
            <v>VAR_fin</v>
          </cell>
          <cell r="C688" t="str">
            <v>BDS</v>
          </cell>
          <cell r="D688">
            <v>3.0152446983496071</v>
          </cell>
          <cell r="E688">
            <v>3.0152416226824963</v>
          </cell>
          <cell r="F688">
            <v>3.0152468712809504</v>
          </cell>
          <cell r="G688">
            <v>3.0152804146093759</v>
          </cell>
          <cell r="H688">
            <v>4.9337753005582217</v>
          </cell>
          <cell r="I688">
            <v>28.12722384612708</v>
          </cell>
        </row>
        <row r="689">
          <cell r="A689" t="str">
            <v>D-T-ELC-Bus_u_S3</v>
          </cell>
          <cell r="B689" t="str">
            <v>VAR_fout</v>
          </cell>
          <cell r="C689" t="str">
            <v>T-ELC-Bus_u_BatSTGin_S3</v>
          </cell>
          <cell r="D689">
            <v>3.695116992672704E-3</v>
          </cell>
          <cell r="E689">
            <v>5.489234642276416E-3</v>
          </cell>
          <cell r="F689">
            <v>6.238718088816252E-3</v>
          </cell>
          <cell r="G689">
            <v>0.58695388190786857</v>
          </cell>
          <cell r="H689">
            <v>0.52717545507056418</v>
          </cell>
          <cell r="I689">
            <v>0.76727346220147397</v>
          </cell>
        </row>
        <row r="690">
          <cell r="A690" t="str">
            <v>D-T-ELC-Bus_u_S3</v>
          </cell>
          <cell r="B690" t="str">
            <v>VAR_fin</v>
          </cell>
          <cell r="C690" t="str">
            <v>TELC</v>
          </cell>
          <cell r="D690">
            <v>3.695116992672704E-3</v>
          </cell>
          <cell r="E690">
            <v>5.489234642276416E-3</v>
          </cell>
          <cell r="F690">
            <v>6.238718088816252E-3</v>
          </cell>
          <cell r="G690">
            <v>0.58695388190786857</v>
          </cell>
          <cell r="H690">
            <v>0.52717545507056418</v>
          </cell>
          <cell r="I690">
            <v>0.76727346220147397</v>
          </cell>
        </row>
        <row r="691">
          <cell r="A691" t="str">
            <v>D-T-ELC-Bus_u_S3</v>
          </cell>
          <cell r="B691" t="str">
            <v>VAR_ncap</v>
          </cell>
          <cell r="C691" t="str">
            <v>-</v>
          </cell>
          <cell r="D691">
            <v>3.9309814485215998E-4</v>
          </cell>
          <cell r="E691">
            <v>1.97153298088013E-4</v>
          </cell>
          <cell r="F691">
            <v>1.92503208110487E-4</v>
          </cell>
          <cell r="G691">
            <v>6.1555296907341503E-2</v>
          </cell>
          <cell r="H691">
            <v>4.1619582084773503E-2</v>
          </cell>
          <cell r="I691">
            <v>6.6844918377549398E-2</v>
          </cell>
        </row>
        <row r="692">
          <cell r="A692" t="str">
            <v>D-T-ELC-Bus_u_S3</v>
          </cell>
          <cell r="B692" t="str">
            <v>VAR_cap</v>
          </cell>
          <cell r="C692" t="str">
            <v>-</v>
          </cell>
          <cell r="D692">
            <v>3.9309814485215998E-4</v>
          </cell>
          <cell r="E692">
            <v>5.9025144294017203E-4</v>
          </cell>
          <cell r="F692">
            <v>7.82754651050659E-4</v>
          </cell>
          <cell r="G692">
            <v>6.2041431946859897E-2</v>
          </cell>
          <cell r="H692">
            <v>5.5723279419522299E-2</v>
          </cell>
          <cell r="I692">
            <v>8.1100509522204503E-2</v>
          </cell>
        </row>
        <row r="693">
          <cell r="A693" t="str">
            <v>T-Plg-DSL-mix_S3</v>
          </cell>
          <cell r="B693" t="str">
            <v>VAR_fout</v>
          </cell>
          <cell r="C693" t="str">
            <v>CO2_T</v>
          </cell>
          <cell r="D693">
            <v>7.9876397797187301E-3</v>
          </cell>
          <cell r="E693">
            <v>59.463222097339099</v>
          </cell>
          <cell r="F693">
            <v>76.575841704106409</v>
          </cell>
          <cell r="G693">
            <v>290.1600159803204</v>
          </cell>
          <cell r="H693">
            <v>596.00343018912042</v>
          </cell>
          <cell r="I693">
            <v>238.40175997911001</v>
          </cell>
        </row>
        <row r="694">
          <cell r="A694" t="str">
            <v>T-Plg-DSL-mix_S3</v>
          </cell>
          <cell r="B694" t="str">
            <v>VAR_fout</v>
          </cell>
          <cell r="C694" t="str">
            <v>T-PEVmix-ELC_DSL_S3</v>
          </cell>
          <cell r="D694">
            <v>6.0324979262781664E-5</v>
          </cell>
          <cell r="E694">
            <v>0.4490835514425866</v>
          </cell>
          <cell r="F694">
            <v>0.57832303286377407</v>
          </cell>
          <cell r="G694">
            <v>2.191372849755318</v>
          </cell>
          <cell r="H694">
            <v>5.0332700834883184</v>
          </cell>
          <cell r="I694">
            <v>2.2550246266794152</v>
          </cell>
        </row>
        <row r="695">
          <cell r="A695" t="str">
            <v>T-Plg-DSL-mix_S3</v>
          </cell>
          <cell r="B695" t="str">
            <v>VAR_fin</v>
          </cell>
          <cell r="C695" t="str">
            <v>TDSL</v>
          </cell>
          <cell r="D695">
            <v>1.0897189331130603E-4</v>
          </cell>
          <cell r="E695">
            <v>0.81123086080953799</v>
          </cell>
          <cell r="F695">
            <v>1.0446908827299621</v>
          </cell>
          <cell r="G695">
            <v>3.9585268210139142</v>
          </cell>
          <cell r="H695">
            <v>8.1310154186783183</v>
          </cell>
          <cell r="I695">
            <v>3.2524114594694336</v>
          </cell>
        </row>
        <row r="696">
          <cell r="A696" t="str">
            <v>D-T-ELC-Bus_u_S4</v>
          </cell>
          <cell r="B696" t="str">
            <v>VAR_fout</v>
          </cell>
          <cell r="C696" t="str">
            <v>T-ELC-Bus_u_BatSTGin_S4</v>
          </cell>
          <cell r="D696">
            <v>2.0415216966969814E-4</v>
          </cell>
          <cell r="E696">
            <v>2.3044057505137777E-4</v>
          </cell>
          <cell r="F696">
            <v>4.0990487566916451E-4</v>
          </cell>
          <cell r="G696">
            <v>3.6100738134009231E-4</v>
          </cell>
          <cell r="H696">
            <v>4.3073375708260926E-4</v>
          </cell>
          <cell r="I696">
            <v>2.6238278646978857E-4</v>
          </cell>
        </row>
        <row r="697">
          <cell r="A697" t="str">
            <v>D-T-ELC-Bus_u_S4</v>
          </cell>
          <cell r="B697" t="str">
            <v>VAR_fin</v>
          </cell>
          <cell r="C697" t="str">
            <v>TELC</v>
          </cell>
          <cell r="D697">
            <v>2.0415216966969814E-4</v>
          </cell>
          <cell r="E697">
            <v>2.3044057505137777E-4</v>
          </cell>
          <cell r="F697">
            <v>4.0990487566916451E-4</v>
          </cell>
          <cell r="G697">
            <v>3.6100738134009231E-4</v>
          </cell>
          <cell r="H697">
            <v>4.3073375708260926E-4</v>
          </cell>
          <cell r="I697">
            <v>2.6238278646978857E-4</v>
          </cell>
        </row>
        <row r="698">
          <cell r="A698" t="str">
            <v>D-T-ELC-Bus_u_S4</v>
          </cell>
          <cell r="B698" t="str">
            <v>VAR_ncap</v>
          </cell>
          <cell r="C698" t="str">
            <v>-</v>
          </cell>
          <cell r="D698">
            <v>1.0678073702303299E-4</v>
          </cell>
          <cell r="E698">
            <v>8.1892563255362905E-5</v>
          </cell>
          <cell r="F698">
            <v>5.8806232223845397E-5</v>
          </cell>
          <cell r="G698">
            <v>7.26984374286489E-5</v>
          </cell>
          <cell r="H698">
            <v>9.4800260995938105E-5</v>
          </cell>
          <cell r="I698">
            <v>3.5245711379996799E-5</v>
          </cell>
        </row>
        <row r="699">
          <cell r="A699" t="str">
            <v>D-T-ELC-Bus_u_S4</v>
          </cell>
          <cell r="B699" t="str">
            <v>VAR_cap</v>
          </cell>
          <cell r="C699" t="str">
            <v>-</v>
          </cell>
          <cell r="D699">
            <v>1.0678073702303299E-4</v>
          </cell>
          <cell r="E699">
            <v>1.8867330027839599E-4</v>
          </cell>
          <cell r="F699">
            <v>2.4747953250224103E-4</v>
          </cell>
          <cell r="G699">
            <v>1.5699340952904999E-4</v>
          </cell>
          <cell r="H699">
            <v>1.4969849550179099E-4</v>
          </cell>
          <cell r="I699">
            <v>5.1882079905281199E-5</v>
          </cell>
        </row>
        <row r="700">
          <cell r="A700" t="str">
            <v>T_C-FC-H2O-S1</v>
          </cell>
          <cell r="B700" t="str">
            <v>VAR_fout</v>
          </cell>
          <cell r="C700" t="str">
            <v>TPCAR</v>
          </cell>
          <cell r="E700">
            <v>1.2964325479406072E-4</v>
          </cell>
          <cell r="F700">
            <v>3.306187399322462E-4</v>
          </cell>
          <cell r="G700">
            <v>6.3422095613502631E-4</v>
          </cell>
          <cell r="H700">
            <v>4.8249785377896891E-2</v>
          </cell>
          <cell r="I700">
            <v>2.5410661492601173E-2</v>
          </cell>
        </row>
        <row r="701">
          <cell r="A701" t="str">
            <v>T_C-FC-H2O-S1</v>
          </cell>
          <cell r="B701" t="str">
            <v>VAR_fin</v>
          </cell>
          <cell r="C701" t="str">
            <v>TH2O</v>
          </cell>
          <cell r="E701">
            <v>1.1822619105660912E-4</v>
          </cell>
          <cell r="F701">
            <v>3.0150272280818905E-4</v>
          </cell>
          <cell r="G701">
            <v>5.7836813840591737E-4</v>
          </cell>
          <cell r="H701">
            <v>3.9060093869147029E-2</v>
          </cell>
          <cell r="I701">
            <v>2.0544352679913013E-2</v>
          </cell>
        </row>
        <row r="702">
          <cell r="A702" t="str">
            <v>T_C-FC-H2O-S1</v>
          </cell>
          <cell r="B702" t="str">
            <v>VAR_ncap</v>
          </cell>
          <cell r="C702" t="str">
            <v>-</v>
          </cell>
          <cell r="E702">
            <v>1.4715415956816001E-5</v>
          </cell>
          <cell r="F702">
            <v>3.19596951479321E-5</v>
          </cell>
          <cell r="G702">
            <v>4.7377869768445597E-5</v>
          </cell>
          <cell r="H702">
            <v>7.5527145721199004E-3</v>
          </cell>
          <cell r="I702">
            <v>2.6147328968206299E-5</v>
          </cell>
        </row>
        <row r="703">
          <cell r="A703" t="str">
            <v>T_C-FC-H2O-S1</v>
          </cell>
          <cell r="B703" t="str">
            <v>VAR_cap</v>
          </cell>
          <cell r="C703" t="str">
            <v>-</v>
          </cell>
          <cell r="E703">
            <v>1.4519507403362E-5</v>
          </cell>
          <cell r="F703">
            <v>4.5188825249406214E-5</v>
          </cell>
          <cell r="G703">
            <v>8.3633492440648294E-5</v>
          </cell>
          <cell r="H703">
            <v>7.3271975595723005E-3</v>
          </cell>
          <cell r="I703">
            <v>3.8591802515962883E-3</v>
          </cell>
        </row>
        <row r="704">
          <cell r="A704" t="str">
            <v>T_B_c-ICEDSL-S1</v>
          </cell>
          <cell r="B704" t="str">
            <v>VAR_fout</v>
          </cell>
          <cell r="C704" t="str">
            <v>CO2_T</v>
          </cell>
          <cell r="D704">
            <v>8.3062437442304802</v>
          </cell>
          <cell r="E704">
            <v>22.483659353151673</v>
          </cell>
          <cell r="F704">
            <v>27.15964653095433</v>
          </cell>
        </row>
        <row r="705">
          <cell r="A705" t="str">
            <v>T_B_c-ICEDSL-S1</v>
          </cell>
          <cell r="B705" t="str">
            <v>VAR_fout</v>
          </cell>
          <cell r="C705" t="str">
            <v>TPBSc</v>
          </cell>
          <cell r="D705">
            <v>1.4042330282682546E-2</v>
          </cell>
          <cell r="E705">
            <v>3.8856080942743822E-2</v>
          </cell>
          <cell r="F705">
            <v>4.7493596301191564E-2</v>
          </cell>
        </row>
        <row r="706">
          <cell r="A706" t="str">
            <v>T_B_c-ICEDSL-S1</v>
          </cell>
          <cell r="B706" t="str">
            <v>VAR_fin</v>
          </cell>
          <cell r="C706" t="str">
            <v>TDSL</v>
          </cell>
          <cell r="D706">
            <v>0.11331846854338989</v>
          </cell>
          <cell r="E706">
            <v>0.30673477971557472</v>
          </cell>
          <cell r="F706">
            <v>0.37052723780292368</v>
          </cell>
        </row>
        <row r="707">
          <cell r="A707" t="str">
            <v>T_B_c-ICEDSL-S1</v>
          </cell>
          <cell r="B707" t="str">
            <v>VAR_ncap</v>
          </cell>
          <cell r="C707" t="str">
            <v>-</v>
          </cell>
          <cell r="E707">
            <v>4.8716032873519102E-4</v>
          </cell>
          <cell r="F707">
            <v>1.8789198995128499E-4</v>
          </cell>
        </row>
        <row r="708">
          <cell r="A708" t="str">
            <v>T_B_c-ICEDSL-S1</v>
          </cell>
          <cell r="B708" t="str">
            <v>VAR_cap</v>
          </cell>
          <cell r="C708" t="str">
            <v>-</v>
          </cell>
          <cell r="D708">
            <v>3.05805288461538E-4</v>
          </cell>
          <cell r="E708">
            <v>8.4643100305306423E-4</v>
          </cell>
          <cell r="F708">
            <v>1.0343301319193188E-3</v>
          </cell>
          <cell r="G708">
            <v>-6.4738723949773341E-9</v>
          </cell>
        </row>
        <row r="709">
          <cell r="A709" t="str">
            <v>T-Plg-DSL-mix_S4</v>
          </cell>
          <cell r="B709" t="str">
            <v>VAR_fout</v>
          </cell>
          <cell r="C709" t="str">
            <v>CO2_T</v>
          </cell>
          <cell r="D709">
            <v>0.40978480389939897</v>
          </cell>
          <cell r="E709">
            <v>1.6201226791985488</v>
          </cell>
          <cell r="F709">
            <v>1.851137558068811</v>
          </cell>
          <cell r="G709">
            <v>1.4374114608632409</v>
          </cell>
          <cell r="H709">
            <v>0.95123343971799756</v>
          </cell>
          <cell r="I709">
            <v>0.25610585548689668</v>
          </cell>
        </row>
        <row r="710">
          <cell r="A710" t="str">
            <v>T-Plg-DSL-mix_S4</v>
          </cell>
          <cell r="B710" t="str">
            <v>VAR_fout</v>
          </cell>
          <cell r="C710" t="str">
            <v>T-PEVmix-ELC_DSL_S4</v>
          </cell>
          <cell r="D710">
            <v>2.9461932591754569E-3</v>
          </cell>
          <cell r="E710">
            <v>1.1648051540885954E-2</v>
          </cell>
          <cell r="F710">
            <v>1.3308958613135243E-2</v>
          </cell>
          <cell r="G710">
            <v>1.033442898896874E-2</v>
          </cell>
          <cell r="H710">
            <v>7.4795251756224401E-3</v>
          </cell>
          <cell r="I710">
            <v>2.2413245797587235E-3</v>
          </cell>
        </row>
        <row r="711">
          <cell r="A711" t="str">
            <v>T-Plg-DSL-mix_S4</v>
          </cell>
          <cell r="B711" t="str">
            <v>VAR_fin</v>
          </cell>
          <cell r="C711" t="str">
            <v>TDSL</v>
          </cell>
          <cell r="D711">
            <v>5.5905157421473313E-3</v>
          </cell>
          <cell r="E711">
            <v>2.2102628638452238E-2</v>
          </cell>
          <cell r="F711">
            <v>2.5254264093708206E-2</v>
          </cell>
          <cell r="G711">
            <v>1.9609979002227045E-2</v>
          </cell>
          <cell r="H711">
            <v>1.2977263843356027E-2</v>
          </cell>
          <cell r="I711">
            <v>3.4939407296984588E-3</v>
          </cell>
        </row>
        <row r="712">
          <cell r="A712" t="str">
            <v>T_C-FC-H2O-S2</v>
          </cell>
          <cell r="B712" t="str">
            <v>VAR_fout</v>
          </cell>
          <cell r="C712" t="str">
            <v>TPCAR</v>
          </cell>
          <cell r="D712">
            <v>7.9155394780272421E-5</v>
          </cell>
          <cell r="E712">
            <v>1.8460457145918471E-4</v>
          </cell>
          <cell r="F712">
            <v>3.548832892304824E-4</v>
          </cell>
          <cell r="G712">
            <v>7.70455134141561E-4</v>
          </cell>
          <cell r="H712">
            <v>8.9413971835672595E-4</v>
          </cell>
          <cell r="I712">
            <v>5.1681561603034837E-4</v>
          </cell>
        </row>
        <row r="713">
          <cell r="A713" t="str">
            <v>T_C-FC-H2O-S2</v>
          </cell>
          <cell r="B713" t="str">
            <v>VAR_fin</v>
          </cell>
          <cell r="C713" t="str">
            <v>TH2O</v>
          </cell>
          <cell r="D713">
            <v>8.8789479688034404E-5</v>
          </cell>
          <cell r="E713">
            <v>2.0707298464486457E-4</v>
          </cell>
          <cell r="F713">
            <v>3.9807650114336577E-4</v>
          </cell>
          <cell r="G713">
            <v>8.6422802480233573E-4</v>
          </cell>
          <cell r="H713">
            <v>9.2642535266539323E-4</v>
          </cell>
          <cell r="I713">
            <v>4.9302819107631065E-4</v>
          </cell>
        </row>
        <row r="714">
          <cell r="A714" t="str">
            <v>T_C-FC-H2O-S2</v>
          </cell>
          <cell r="B714" t="str">
            <v>VAR_ncap</v>
          </cell>
          <cell r="C714" t="str">
            <v>-</v>
          </cell>
          <cell r="E714">
            <v>8.1130041043131808E-6</v>
          </cell>
          <cell r="F714">
            <v>1.7258438309854201E-5</v>
          </cell>
          <cell r="G714">
            <v>3.5276889384113298E-5</v>
          </cell>
          <cell r="H714">
            <v>4.0855261145075197E-5</v>
          </cell>
          <cell r="I714">
            <v>2.3337276086390502E-5</v>
          </cell>
        </row>
        <row r="715">
          <cell r="A715" t="str">
            <v>T_C-FC-H2O-S2</v>
          </cell>
          <cell r="B715" t="str">
            <v>VAR_cap</v>
          </cell>
          <cell r="C715" t="str">
            <v>-</v>
          </cell>
          <cell r="D715">
            <v>6.33333333333333E-6</v>
          </cell>
          <cell r="E715">
            <v>1.4338327789607608E-5</v>
          </cell>
          <cell r="F715">
            <v>3.0889786923078927E-5</v>
          </cell>
          <cell r="G715">
            <v>5.983527450461639E-5</v>
          </cell>
          <cell r="H715">
            <v>8.3566224606907799E-5</v>
          </cell>
          <cell r="I715">
            <v>4.9199705245518608E-5</v>
          </cell>
        </row>
        <row r="716">
          <cell r="A716" t="str">
            <v>T_B_c-ICEDSL-S2</v>
          </cell>
          <cell r="B716" t="str">
            <v>VAR_fout</v>
          </cell>
          <cell r="C716" t="str">
            <v>CO2_T</v>
          </cell>
          <cell r="D716">
            <v>38.062653545317303</v>
          </cell>
          <cell r="E716">
            <v>29.186626874225666</v>
          </cell>
          <cell r="F716">
            <v>34.917791433872168</v>
          </cell>
        </row>
        <row r="717">
          <cell r="A717" t="str">
            <v>T_B_c-ICEDSL-S2</v>
          </cell>
          <cell r="B717" t="str">
            <v>VAR_fout</v>
          </cell>
          <cell r="C717" t="str">
            <v>TPBSc</v>
          </cell>
          <cell r="D717">
            <v>4.5418584634363678E-2</v>
          </cell>
          <cell r="E717">
            <v>3.4964745355733906E-2</v>
          </cell>
          <cell r="F717">
            <v>4.180962369589232E-2</v>
          </cell>
        </row>
        <row r="718">
          <cell r="A718" t="str">
            <v>T_B_c-ICEDSL-S2</v>
          </cell>
          <cell r="B718" t="str">
            <v>VAR_fin</v>
          </cell>
          <cell r="C718" t="str">
            <v>TDSL</v>
          </cell>
          <cell r="D718">
            <v>0.51927221753502473</v>
          </cell>
          <cell r="E718">
            <v>0.39818044848875445</v>
          </cell>
          <cell r="F718">
            <v>0.47636823238570469</v>
          </cell>
        </row>
        <row r="719">
          <cell r="A719" t="str">
            <v>T_B_c-ICEDSL-S2</v>
          </cell>
          <cell r="B719" t="str">
            <v>VAR_ncap</v>
          </cell>
          <cell r="C719" t="str">
            <v>-</v>
          </cell>
          <cell r="E719">
            <v>9.3151338653653699E-7</v>
          </cell>
          <cell r="F719">
            <v>1.24001519043682E-6</v>
          </cell>
        </row>
        <row r="720">
          <cell r="A720" t="str">
            <v>T_B_c-ICEDSL-S2</v>
          </cell>
          <cell r="B720" t="str">
            <v>VAR_cap</v>
          </cell>
          <cell r="C720" t="str">
            <v>-</v>
          </cell>
          <cell r="D720">
            <v>9.8784375000000001E-4</v>
          </cell>
          <cell r="E720">
            <v>9.0773953971320541E-4</v>
          </cell>
          <cell r="F720">
            <v>9.0902256576466949E-4</v>
          </cell>
          <cell r="G720">
            <v>-8.3612923146595894E-9</v>
          </cell>
        </row>
        <row r="721">
          <cell r="A721" t="str">
            <v>T_TW-FCLH2O-S1</v>
          </cell>
          <cell r="B721" t="str">
            <v>VAR_fout</v>
          </cell>
          <cell r="C721" t="str">
            <v>TPTWL</v>
          </cell>
          <cell r="G721">
            <v>2.6693053290133544E-4</v>
          </cell>
          <cell r="H721">
            <v>7.0483593372005907E-4</v>
          </cell>
          <cell r="I721">
            <v>5.4711570201386602E-4</v>
          </cell>
        </row>
        <row r="722">
          <cell r="A722" t="str">
            <v>T_TW-FCLH2O-S1</v>
          </cell>
          <cell r="B722" t="str">
            <v>VAR_fin</v>
          </cell>
          <cell r="C722" t="str">
            <v>TH2O</v>
          </cell>
          <cell r="G722">
            <v>5.7539070112569063E-5</v>
          </cell>
          <cell r="H722">
            <v>1.4863602823587789E-4</v>
          </cell>
          <cell r="I722">
            <v>1.123734788912451E-4</v>
          </cell>
        </row>
        <row r="723">
          <cell r="A723" t="str">
            <v>T_TW-FCLH2O-S1</v>
          </cell>
          <cell r="B723" t="str">
            <v>VAR_ncap</v>
          </cell>
          <cell r="C723" t="str">
            <v>-</v>
          </cell>
          <cell r="G723">
            <v>9.8274825397259806E-5</v>
          </cell>
          <cell r="H723">
            <v>1.2345013084703399E-4</v>
          </cell>
          <cell r="I723">
            <v>1.31475238213111E-4</v>
          </cell>
        </row>
        <row r="724">
          <cell r="A724" t="str">
            <v>T_TW-FCLH2O-S1</v>
          </cell>
          <cell r="B724" t="str">
            <v>VAR_cap</v>
          </cell>
          <cell r="C724" t="str">
            <v>-</v>
          </cell>
          <cell r="G724">
            <v>9.8274825397259806E-5</v>
          </cell>
          <cell r="H724">
            <v>2.7352730275765648E-4</v>
          </cell>
          <cell r="I724">
            <v>2.1664105297903314E-4</v>
          </cell>
        </row>
        <row r="725">
          <cell r="A725" t="str">
            <v>D-T-ELC-TW_Bat_S1</v>
          </cell>
          <cell r="B725" t="str">
            <v>VAR_fout</v>
          </cell>
          <cell r="C725" t="str">
            <v>T-ELC-TWSTGin_S1</v>
          </cell>
          <cell r="D725">
            <v>1.5704270363395187E-3</v>
          </cell>
          <cell r="E725">
            <v>2.3655144952743545E-3</v>
          </cell>
          <cell r="F725">
            <v>2.4939068671191778E-3</v>
          </cell>
          <cell r="G725">
            <v>5.0254964899686169E-3</v>
          </cell>
          <cell r="H725">
            <v>5.3494054843196536E-3</v>
          </cell>
          <cell r="I725">
            <v>0.12181557795558423</v>
          </cell>
        </row>
        <row r="726">
          <cell r="A726" t="str">
            <v>D-T-ELC-TW_Bat_S1</v>
          </cell>
          <cell r="B726" t="str">
            <v>VAR_fin</v>
          </cell>
          <cell r="C726" t="str">
            <v>TELC</v>
          </cell>
          <cell r="D726">
            <v>1.5704270363395187E-3</v>
          </cell>
          <cell r="E726">
            <v>2.3655144952743545E-3</v>
          </cell>
          <cell r="F726">
            <v>2.4939068671191778E-3</v>
          </cell>
          <cell r="G726">
            <v>5.0254964899686169E-3</v>
          </cell>
          <cell r="H726">
            <v>5.3494054843196536E-3</v>
          </cell>
          <cell r="I726">
            <v>0.12181557795558423</v>
          </cell>
        </row>
        <row r="727">
          <cell r="A727" t="str">
            <v>D-T-ELC-TW_Bat_S1</v>
          </cell>
          <cell r="B727" t="str">
            <v>VAR_ncap</v>
          </cell>
          <cell r="C727" t="str">
            <v>-</v>
          </cell>
          <cell r="D727">
            <v>2.3241519331420601E-4</v>
          </cell>
          <cell r="E727">
            <v>3.2662392575123302E-5</v>
          </cell>
          <cell r="F727">
            <v>1.0535173427480799E-5</v>
          </cell>
          <cell r="G727">
            <v>3.2268975690681899E-4</v>
          </cell>
          <cell r="H727">
            <v>1.4803085226287001E-4</v>
          </cell>
          <cell r="I727">
            <v>1.2738860057502801E-2</v>
          </cell>
        </row>
        <row r="728">
          <cell r="A728" t="str">
            <v>D-T-ELC-TW_Bat_S1</v>
          </cell>
          <cell r="B728" t="str">
            <v>VAR_cap</v>
          </cell>
          <cell r="C728" t="str">
            <v>-</v>
          </cell>
          <cell r="D728">
            <v>2.3241519331420601E-4</v>
          </cell>
          <cell r="E728">
            <v>2.6507758588932898E-4</v>
          </cell>
          <cell r="F728">
            <v>2.7561275931681001E-4</v>
          </cell>
          <cell r="G728">
            <v>5.3161714818547297E-4</v>
          </cell>
          <cell r="H728">
            <v>5.6671469999255704E-4</v>
          </cell>
          <cell r="I728">
            <v>1.28765424419488E-2</v>
          </cell>
        </row>
        <row r="729">
          <cell r="A729" t="str">
            <v>T_C-FC-H2O-S3</v>
          </cell>
          <cell r="B729" t="str">
            <v>VAR_fout</v>
          </cell>
          <cell r="C729" t="str">
            <v>TPCAR</v>
          </cell>
          <cell r="D729">
            <v>7.1477652783795084E-4</v>
          </cell>
          <cell r="E729">
            <v>1.6606427866072292E-3</v>
          </cell>
          <cell r="F729">
            <v>1.7508010070328799E-3</v>
          </cell>
          <cell r="G729">
            <v>1.8230320239865808E-3</v>
          </cell>
          <cell r="H729">
            <v>6.9965383972637476E-4</v>
          </cell>
          <cell r="I729">
            <v>5.4245368091703275E-4</v>
          </cell>
        </row>
        <row r="730">
          <cell r="A730" t="str">
            <v>T_C-FC-H2O-S3</v>
          </cell>
          <cell r="B730" t="str">
            <v>VAR_fin</v>
          </cell>
          <cell r="C730" t="str">
            <v>TH2O</v>
          </cell>
          <cell r="D730">
            <v>8.6117127649488567E-4</v>
          </cell>
          <cell r="E730">
            <v>2.0007622139891989E-3</v>
          </cell>
          <cell r="F730">
            <v>2.1093859120914814E-3</v>
          </cell>
          <cell r="G730">
            <v>2.1964107018683583E-3</v>
          </cell>
          <cell r="H730">
            <v>7.7931822040979456E-4</v>
          </cell>
          <cell r="I730">
            <v>5.4340873540603739E-4</v>
          </cell>
        </row>
        <row r="731">
          <cell r="A731" t="str">
            <v>T_C-FC-H2O-S3</v>
          </cell>
          <cell r="B731" t="str">
            <v>VAR_ncap</v>
          </cell>
          <cell r="C731" t="str">
            <v>-</v>
          </cell>
          <cell r="E731">
            <v>7.7393910900973593E-6</v>
          </cell>
          <cell r="F731">
            <v>1.5787776257838499E-5</v>
          </cell>
          <cell r="G731">
            <v>2.36279952857633E-5</v>
          </cell>
          <cell r="H731">
            <v>2.52003958839854E-5</v>
          </cell>
          <cell r="I731">
            <v>2.6968335933520601E-5</v>
          </cell>
        </row>
        <row r="732">
          <cell r="A732" t="str">
            <v>T_C-FC-H2O-S3</v>
          </cell>
          <cell r="B732" t="str">
            <v>VAR_cap</v>
          </cell>
          <cell r="C732" t="str">
            <v>-</v>
          </cell>
          <cell r="D732">
            <v>5.3645770860861064E-5</v>
          </cell>
          <cell r="E732">
            <v>1.1569398651351163E-4</v>
          </cell>
          <cell r="F732">
            <v>1.2563276239003704E-4</v>
          </cell>
          <cell r="G732">
            <v>1.2795428599856869E-4</v>
          </cell>
          <cell r="H732">
            <v>5.5730799955928217E-5</v>
          </cell>
          <cell r="I732">
            <v>4.1970710208400627E-5</v>
          </cell>
        </row>
        <row r="733">
          <cell r="A733" t="str">
            <v>T_B_c-ICEDSL-S3</v>
          </cell>
          <cell r="B733" t="str">
            <v>VAR_fout</v>
          </cell>
          <cell r="C733" t="str">
            <v>CO2_T</v>
          </cell>
          <cell r="D733">
            <v>11.62667816446735</v>
          </cell>
          <cell r="E733">
            <v>9.3140158988687887</v>
          </cell>
          <cell r="F733">
            <v>11.251477926820575</v>
          </cell>
          <cell r="H733">
            <v>1.0084842877786299E-4</v>
          </cell>
        </row>
        <row r="734">
          <cell r="A734" t="str">
            <v>T_B_c-ICEDSL-S3</v>
          </cell>
          <cell r="B734" t="str">
            <v>VAR_fout</v>
          </cell>
          <cell r="C734" t="str">
            <v>TPBSc</v>
          </cell>
          <cell r="D734">
            <v>9.1918214417789131E-3</v>
          </cell>
          <cell r="E734">
            <v>7.3925996397630235E-3</v>
          </cell>
          <cell r="F734">
            <v>8.926533071927218E-3</v>
          </cell>
          <cell r="H734">
            <v>1.034219724673372E-7</v>
          </cell>
        </row>
        <row r="735">
          <cell r="A735" t="str">
            <v>T_B_c-ICEDSL-S3</v>
          </cell>
          <cell r="B735" t="str">
            <v>VAR_fin</v>
          </cell>
          <cell r="C735" t="str">
            <v>TDSL</v>
          </cell>
          <cell r="D735">
            <v>0.15861771029286975</v>
          </cell>
          <cell r="E735">
            <v>0.12706706546887878</v>
          </cell>
          <cell r="F735">
            <v>0.15349901673697885</v>
          </cell>
          <cell r="H735">
            <v>1.3758312248003091E-6</v>
          </cell>
        </row>
        <row r="736">
          <cell r="A736" t="str">
            <v>T_B_c-ICEDSL-S3</v>
          </cell>
          <cell r="B736" t="str">
            <v>VAR_ncap</v>
          </cell>
          <cell r="C736" t="str">
            <v>-</v>
          </cell>
          <cell r="E736">
            <v>3.8491960478629002E-7</v>
          </cell>
          <cell r="F736">
            <v>3.8820392735026702E-7</v>
          </cell>
          <cell r="H736">
            <v>1.52749980190381E-8</v>
          </cell>
        </row>
        <row r="737">
          <cell r="A737" t="str">
            <v>T_B_c-ICEDSL-S3</v>
          </cell>
          <cell r="B737" t="str">
            <v>VAR_cap</v>
          </cell>
          <cell r="C737" t="str">
            <v>-</v>
          </cell>
          <cell r="D737">
            <v>2.0064127487693639E-4</v>
          </cell>
          <cell r="E737">
            <v>1.9384543587303406E-4</v>
          </cell>
          <cell r="F737">
            <v>1.9424955056213301E-4</v>
          </cell>
          <cell r="G737">
            <v>-2.2240109618840674E-9</v>
          </cell>
          <cell r="H737">
            <v>1.52749980190381E-8</v>
          </cell>
          <cell r="I737">
            <v>5.2320113654982996E-9</v>
          </cell>
        </row>
        <row r="738">
          <cell r="A738" t="str">
            <v>T_TW-FCLH2O-S2</v>
          </cell>
          <cell r="B738" t="str">
            <v>VAR_fout</v>
          </cell>
          <cell r="C738" t="str">
            <v>TPTWL</v>
          </cell>
          <cell r="G738">
            <v>1.2122253539461861E-4</v>
          </cell>
          <cell r="H738">
            <v>3.4447992361756391E-4</v>
          </cell>
          <cell r="I738">
            <v>2.4593179595766562E-4</v>
          </cell>
        </row>
        <row r="739">
          <cell r="A739" t="str">
            <v>T_TW-FCLH2O-S2</v>
          </cell>
          <cell r="B739" t="str">
            <v>VAR_fin</v>
          </cell>
          <cell r="C739" t="str">
            <v>TH2O</v>
          </cell>
          <cell r="G739">
            <v>4.4882493078066145E-5</v>
          </cell>
          <cell r="H739">
            <v>1.2531070892024841E-4</v>
          </cell>
          <cell r="I739">
            <v>8.7578110650857259E-5</v>
          </cell>
        </row>
        <row r="740">
          <cell r="A740" t="str">
            <v>T_TW-FCLH2O-S2</v>
          </cell>
          <cell r="B740" t="str">
            <v>VAR_ncap</v>
          </cell>
          <cell r="C740" t="str">
            <v>-</v>
          </cell>
          <cell r="G740">
            <v>4.5478265308709098E-5</v>
          </cell>
          <cell r="H740">
            <v>4.9991545848316602E-5</v>
          </cell>
          <cell r="I740">
            <v>4.2928531490390401E-5</v>
          </cell>
        </row>
        <row r="741">
          <cell r="A741" t="str">
            <v>T_TW-FCLH2O-S2</v>
          </cell>
          <cell r="B741" t="str">
            <v>VAR_cap</v>
          </cell>
          <cell r="C741" t="str">
            <v>-</v>
          </cell>
          <cell r="G741">
            <v>4.5478265308709098E-5</v>
          </cell>
          <cell r="H741">
            <v>1.3420030594825865E-4</v>
          </cell>
          <cell r="I741">
            <v>9.630692917801114E-5</v>
          </cell>
        </row>
        <row r="742">
          <cell r="A742" t="str">
            <v>D-T-ELC-TW_Bat_S2</v>
          </cell>
          <cell r="B742" t="str">
            <v>VAR_fout</v>
          </cell>
          <cell r="C742" t="str">
            <v>T-ELC-TWSTGin_S2</v>
          </cell>
          <cell r="D742">
            <v>3.6102696690443257E-4</v>
          </cell>
          <cell r="E742">
            <v>5.058285335411976E-4</v>
          </cell>
          <cell r="F742">
            <v>5.4451908456290836E-4</v>
          </cell>
          <cell r="G742">
            <v>4.6823603388876367E-3</v>
          </cell>
          <cell r="H742">
            <v>5.9332487961432732E-3</v>
          </cell>
          <cell r="I742">
            <v>3.9039966680162359E-3</v>
          </cell>
        </row>
        <row r="743">
          <cell r="A743" t="str">
            <v>D-T-ELC-TW_Bat_S2</v>
          </cell>
          <cell r="B743" t="str">
            <v>VAR_fin</v>
          </cell>
          <cell r="C743" t="str">
            <v>TELC</v>
          </cell>
          <cell r="D743">
            <v>3.6102696690443257E-4</v>
          </cell>
          <cell r="E743">
            <v>5.058285335411976E-4</v>
          </cell>
          <cell r="F743">
            <v>5.4451908456290836E-4</v>
          </cell>
          <cell r="G743">
            <v>4.6823603388876367E-3</v>
          </cell>
          <cell r="H743">
            <v>5.9332487961432732E-3</v>
          </cell>
          <cell r="I743">
            <v>3.9039966680162359E-3</v>
          </cell>
        </row>
        <row r="744">
          <cell r="A744" t="str">
            <v>D-T-ELC-TW_Bat_S2</v>
          </cell>
          <cell r="B744" t="str">
            <v>VAR_ncap</v>
          </cell>
          <cell r="C744" t="str">
            <v>-</v>
          </cell>
          <cell r="D744">
            <v>1.46050771059371E-4</v>
          </cell>
          <cell r="E744">
            <v>9.5339490869897297E-7</v>
          </cell>
          <cell r="F744">
            <v>7.9950073546313003E-6</v>
          </cell>
          <cell r="G744">
            <v>3.4047378234505201E-4</v>
          </cell>
          <cell r="H744">
            <v>9.2841427281145305E-6</v>
          </cell>
          <cell r="I744">
            <v>2.5574548070685202E-4</v>
          </cell>
        </row>
        <row r="745">
          <cell r="A745" t="str">
            <v>D-T-ELC-TW_Bat_S2</v>
          </cell>
          <cell r="B745" t="str">
            <v>VAR_cap</v>
          </cell>
          <cell r="C745" t="str">
            <v>-</v>
          </cell>
          <cell r="D745">
            <v>1.46050771059371E-4</v>
          </cell>
          <cell r="E745">
            <v>1.4700416596806999E-4</v>
          </cell>
          <cell r="F745">
            <v>1.5499917332270101E-4</v>
          </cell>
          <cell r="G745">
            <v>4.95472955667753E-4</v>
          </cell>
          <cell r="H745">
            <v>6.2875006534097902E-4</v>
          </cell>
          <cell r="I745">
            <v>4.1351817926015602E-4</v>
          </cell>
        </row>
        <row r="746">
          <cell r="A746" t="str">
            <v>T_C-FC-H2O-S4</v>
          </cell>
          <cell r="B746" t="str">
            <v>VAR_fout</v>
          </cell>
          <cell r="C746" t="str">
            <v>TPCAR</v>
          </cell>
          <cell r="E746">
            <v>1.2512853722365866E-4</v>
          </cell>
          <cell r="F746">
            <v>4.2630380682377007E-4</v>
          </cell>
          <cell r="G746">
            <v>1.0325343584208419E-3</v>
          </cell>
          <cell r="H746">
            <v>2.2952722614101397E-3</v>
          </cell>
          <cell r="I746">
            <v>1.4469245198036067</v>
          </cell>
        </row>
        <row r="747">
          <cell r="A747" t="str">
            <v>T_C-FC-H2O-S4</v>
          </cell>
          <cell r="B747" t="str">
            <v>VAR_fin</v>
          </cell>
          <cell r="C747" t="str">
            <v>TH2O</v>
          </cell>
          <cell r="E747">
            <v>1.4954062189969264E-4</v>
          </cell>
          <cell r="F747">
            <v>5.0947400013703177E-4</v>
          </cell>
          <cell r="G747">
            <v>1.2339777441421108E-3</v>
          </cell>
          <cell r="H747">
            <v>2.4958573911406682E-3</v>
          </cell>
          <cell r="I747">
            <v>1.3642066083214242</v>
          </cell>
        </row>
        <row r="748">
          <cell r="A748" t="str">
            <v>T_C-FC-H2O-S4</v>
          </cell>
          <cell r="B748" t="str">
            <v>VAR_ncap</v>
          </cell>
          <cell r="C748" t="str">
            <v>-</v>
          </cell>
          <cell r="E748">
            <v>1.05081832359761E-5</v>
          </cell>
          <cell r="F748">
            <v>2.7200632384456799E-5</v>
          </cell>
          <cell r="G748">
            <v>5.5130382710040398E-5</v>
          </cell>
          <cell r="H748">
            <v>1.70910480218713E-4</v>
          </cell>
          <cell r="I748">
            <v>0.18177662662865701</v>
          </cell>
        </row>
        <row r="749">
          <cell r="A749" t="str">
            <v>T_C-FC-H2O-S4</v>
          </cell>
          <cell r="B749" t="str">
            <v>VAR_cap</v>
          </cell>
          <cell r="C749" t="str">
            <v>-</v>
          </cell>
          <cell r="E749">
            <v>1.0368286206681799E-5</v>
          </cell>
          <cell r="F749">
            <v>3.6596938188011098E-5</v>
          </cell>
          <cell r="G749">
            <v>8.3713756874776804E-5</v>
          </cell>
          <cell r="H749">
            <v>2.2827853131501398E-4</v>
          </cell>
          <cell r="I749">
            <v>0.15523887081503368</v>
          </cell>
        </row>
        <row r="750">
          <cell r="A750" t="str">
            <v>T_B_c-ICEDSL-S4</v>
          </cell>
          <cell r="B750" t="str">
            <v>VAR_fout</v>
          </cell>
          <cell r="C750" t="str">
            <v>CO2_T</v>
          </cell>
          <cell r="D750">
            <v>1.0548344233311417</v>
          </cell>
          <cell r="E750">
            <v>2.8017796155834669E-2</v>
          </cell>
          <cell r="F750">
            <v>3.7051441179417603E-2</v>
          </cell>
          <cell r="H750">
            <v>7.4657357187163202E-4</v>
          </cell>
        </row>
        <row r="751">
          <cell r="A751" t="str">
            <v>T_B_c-ICEDSL-S4</v>
          </cell>
          <cell r="B751" t="str">
            <v>VAR_fout</v>
          </cell>
          <cell r="C751" t="str">
            <v>TPBSc</v>
          </cell>
          <cell r="D751">
            <v>5.5614787051341482E-4</v>
          </cell>
          <cell r="E751">
            <v>1.4889593209518841E-5</v>
          </cell>
          <cell r="F751">
            <v>1.985963751229995E-5</v>
          </cell>
          <cell r="H751">
            <v>5.1207162739655248E-7</v>
          </cell>
        </row>
        <row r="752">
          <cell r="A752" t="str">
            <v>T_B_c-ICEDSL-S4</v>
          </cell>
          <cell r="B752" t="str">
            <v>VAR_fin</v>
          </cell>
          <cell r="C752" t="str">
            <v>TDSL</v>
          </cell>
          <cell r="D752">
            <v>1.4390646975868233E-2</v>
          </cell>
          <cell r="E752">
            <v>3.8223459967032269E-4</v>
          </cell>
          <cell r="F752">
            <v>5.0547668730446923E-4</v>
          </cell>
          <cell r="H752">
            <v>1.0185178333855827E-5</v>
          </cell>
        </row>
        <row r="753">
          <cell r="A753" t="str">
            <v>T_B_c-ICEDSL-S4</v>
          </cell>
          <cell r="B753" t="str">
            <v>VAR_ncap</v>
          </cell>
          <cell r="C753" t="str">
            <v>-</v>
          </cell>
          <cell r="E753">
            <v>6.2941225254523994E-8</v>
          </cell>
          <cell r="F753">
            <v>6.5360745902091095E-8</v>
          </cell>
        </row>
        <row r="754">
          <cell r="A754" t="str">
            <v>T_B_c-ICEDSL-S4</v>
          </cell>
          <cell r="B754" t="str">
            <v>VAR_cap</v>
          </cell>
          <cell r="C754" t="str">
            <v>-</v>
          </cell>
          <cell r="D754">
            <v>1.2527483055125902E-5</v>
          </cell>
          <cell r="E754">
            <v>4.4997539845332678E-7</v>
          </cell>
          <cell r="F754">
            <v>5.1469875270061403E-7</v>
          </cell>
          <cell r="G754">
            <v>-5.1458225579479623E-9</v>
          </cell>
        </row>
        <row r="755">
          <cell r="A755" t="str">
            <v>D-T-ELC-HGV</v>
          </cell>
          <cell r="B755" t="str">
            <v>VAR_fout</v>
          </cell>
          <cell r="C755" t="str">
            <v>T-ELC-HGV_BatSTGin</v>
          </cell>
          <cell r="D755">
            <v>9.9545629734131714E-3</v>
          </cell>
          <cell r="E755">
            <v>1.9397952415730134E-2</v>
          </cell>
          <cell r="F755">
            <v>2.1505552135962416E-2</v>
          </cell>
          <cell r="G755">
            <v>0.21091953763995031</v>
          </cell>
          <cell r="H755">
            <v>3.5573418792279481E-3</v>
          </cell>
          <cell r="I755">
            <v>6.3711024005760493</v>
          </cell>
        </row>
        <row r="756">
          <cell r="A756" t="str">
            <v>D-T-ELC-HGV</v>
          </cell>
          <cell r="B756" t="str">
            <v>VAR_fin</v>
          </cell>
          <cell r="C756" t="str">
            <v>TELC</v>
          </cell>
          <cell r="D756">
            <v>9.9545629734131714E-3</v>
          </cell>
          <cell r="E756">
            <v>1.9397952415730134E-2</v>
          </cell>
          <cell r="F756">
            <v>2.1505552135962416E-2</v>
          </cell>
          <cell r="G756">
            <v>0.21091953763995031</v>
          </cell>
          <cell r="H756">
            <v>3.5573418792279481E-3</v>
          </cell>
          <cell r="I756">
            <v>6.3711024005760493</v>
          </cell>
        </row>
        <row r="757">
          <cell r="A757" t="str">
            <v>D-T-ELC-HGV</v>
          </cell>
          <cell r="B757" t="str">
            <v>VAR_ncap</v>
          </cell>
          <cell r="C757" t="str">
            <v>-</v>
          </cell>
          <cell r="D757">
            <v>1.3649289605350799E-3</v>
          </cell>
          <cell r="E757">
            <v>1.19216354108393E-3</v>
          </cell>
          <cell r="F757">
            <v>3.4646241440576298E-4</v>
          </cell>
          <cell r="G757">
            <v>2.4732193234100999E-2</v>
          </cell>
          <cell r="H757">
            <v>3.1165383965709798E-4</v>
          </cell>
          <cell r="I757">
            <v>0.80405970939642701</v>
          </cell>
        </row>
        <row r="758">
          <cell r="A758" t="str">
            <v>D-T-ELC-HGV</v>
          </cell>
          <cell r="B758" t="str">
            <v>VAR_cap</v>
          </cell>
          <cell r="C758" t="str">
            <v>-</v>
          </cell>
          <cell r="D758">
            <v>1.3649289605350799E-3</v>
          </cell>
          <cell r="E758">
            <v>2.5570925016190102E-3</v>
          </cell>
          <cell r="F758">
            <v>2.90355491602477E-3</v>
          </cell>
          <cell r="G758">
            <v>2.5557319314698401E-2</v>
          </cell>
          <cell r="H758">
            <v>4.8824787901681E-4</v>
          </cell>
          <cell r="I758">
            <v>0.80411440110375298</v>
          </cell>
        </row>
        <row r="759">
          <cell r="A759" t="str">
            <v>T_TW-FCLH2O-S3</v>
          </cell>
          <cell r="B759" t="str">
            <v>VAR_fout</v>
          </cell>
          <cell r="C759" t="str">
            <v>TPTWL</v>
          </cell>
          <cell r="G759">
            <v>6.6441809044686696E-5</v>
          </cell>
          <cell r="H759">
            <v>1.9450040506188609E-4</v>
          </cell>
          <cell r="I759">
            <v>1.8242961607304104E-4</v>
          </cell>
        </row>
        <row r="760">
          <cell r="A760" t="str">
            <v>T_TW-FCLH2O-S3</v>
          </cell>
          <cell r="B760" t="str">
            <v>VAR_fin</v>
          </cell>
          <cell r="C760" t="str">
            <v>TH2O</v>
          </cell>
          <cell r="G760">
            <v>3.7737122269078185E-5</v>
          </cell>
          <cell r="H760">
            <v>1.0882346445132679E-4</v>
          </cell>
          <cell r="I760">
            <v>1.0019155375157707E-4</v>
          </cell>
        </row>
        <row r="761">
          <cell r="A761" t="str">
            <v>T_TW-FCLH2O-S3</v>
          </cell>
          <cell r="B761" t="str">
            <v>VAR_ncap</v>
          </cell>
          <cell r="C761" t="str">
            <v>-</v>
          </cell>
          <cell r="G761">
            <v>2.5017037621537001E-5</v>
          </cell>
          <cell r="H761">
            <v>2.1959666158983201E-5</v>
          </cell>
          <cell r="I761">
            <v>2.1589705329184899E-5</v>
          </cell>
        </row>
        <row r="762">
          <cell r="A762" t="str">
            <v>T_TW-FCLH2O-S3</v>
          </cell>
          <cell r="B762" t="str">
            <v>VAR_cap</v>
          </cell>
          <cell r="C762" t="str">
            <v>-</v>
          </cell>
          <cell r="G762">
            <v>2.5017037621537001E-5</v>
          </cell>
          <cell r="H762">
            <v>7.3228699616319356E-5</v>
          </cell>
          <cell r="I762">
            <v>7.1082803517428031E-5</v>
          </cell>
        </row>
        <row r="763">
          <cell r="A763" t="str">
            <v>D-T-ELC-TW_Bat_S3</v>
          </cell>
          <cell r="B763" t="str">
            <v>VAR_fout</v>
          </cell>
          <cell r="C763" t="str">
            <v>T-ELC-TWSTGin_S3</v>
          </cell>
          <cell r="D763">
            <v>8.83683011213582E-5</v>
          </cell>
          <cell r="E763">
            <v>1.8145889731681846E-4</v>
          </cell>
          <cell r="F763">
            <v>2.1882699442414633E-4</v>
          </cell>
          <cell r="G763">
            <v>5.4655367694405209E-3</v>
          </cell>
          <cell r="H763">
            <v>1.0482899088870236E-2</v>
          </cell>
          <cell r="I763">
            <v>5.9603879664254251E-3</v>
          </cell>
        </row>
        <row r="764">
          <cell r="A764" t="str">
            <v>D-T-ELC-TW_Bat_S3</v>
          </cell>
          <cell r="B764" t="str">
            <v>VAR_fin</v>
          </cell>
          <cell r="C764" t="str">
            <v>TELC</v>
          </cell>
          <cell r="D764">
            <v>8.83683011213582E-5</v>
          </cell>
          <cell r="E764">
            <v>1.8145889731681846E-4</v>
          </cell>
          <cell r="F764">
            <v>2.1882699442414633E-4</v>
          </cell>
          <cell r="G764">
            <v>5.4655367694405209E-3</v>
          </cell>
          <cell r="H764">
            <v>1.0482899088870236E-2</v>
          </cell>
          <cell r="I764">
            <v>5.9603879664254251E-3</v>
          </cell>
        </row>
        <row r="765">
          <cell r="A765" t="str">
            <v>D-T-ELC-TW_Bat_S3</v>
          </cell>
          <cell r="B765" t="str">
            <v>VAR_ncap</v>
          </cell>
          <cell r="C765" t="str">
            <v>-</v>
          </cell>
          <cell r="D765">
            <v>1.6267225257909801E-4</v>
          </cell>
          <cell r="E765">
            <v>1.09260270180644E-6</v>
          </cell>
          <cell r="F765">
            <v>4.4384593886852704E-6</v>
          </cell>
          <cell r="G765">
            <v>4.1026017855298101E-4</v>
          </cell>
          <cell r="H765">
            <v>1.6958933664377798E-5</v>
          </cell>
          <cell r="I765">
            <v>1.31312085527512E-5</v>
          </cell>
        </row>
        <row r="766">
          <cell r="A766" t="str">
            <v>D-T-ELC-TW_Bat_S3</v>
          </cell>
          <cell r="B766" t="str">
            <v>VAR_cap</v>
          </cell>
          <cell r="C766" t="str">
            <v>-</v>
          </cell>
          <cell r="D766">
            <v>1.6267225257909801E-4</v>
          </cell>
          <cell r="E766">
            <v>1.6376485528090499E-4</v>
          </cell>
          <cell r="F766">
            <v>1.6820331466958999E-4</v>
          </cell>
          <cell r="G766">
            <v>5.7846349322257095E-4</v>
          </cell>
          <cell r="H766">
            <v>1.1094647380892799E-3</v>
          </cell>
          <cell r="I766">
            <v>6.3107913935256995E-4</v>
          </cell>
        </row>
        <row r="767">
          <cell r="A767" t="str">
            <v>T_TW-FCLH2O-S4</v>
          </cell>
          <cell r="B767" t="str">
            <v>VAR_fout</v>
          </cell>
          <cell r="C767" t="str">
            <v>TPTWL</v>
          </cell>
          <cell r="G767">
            <v>3.2912988581855651E-5</v>
          </cell>
          <cell r="H767">
            <v>1.0821275681163559E-4</v>
          </cell>
          <cell r="I767">
            <v>1.2416605406524226E-4</v>
          </cell>
        </row>
        <row r="768">
          <cell r="A768" t="str">
            <v>T_TW-FCLH2O-S4</v>
          </cell>
          <cell r="B768" t="str">
            <v>VAR_fin</v>
          </cell>
          <cell r="C768" t="str">
            <v>TH2O</v>
          </cell>
          <cell r="G768">
            <v>2.1070499954312216E-5</v>
          </cell>
          <cell r="H768">
            <v>6.8027020910141041E-5</v>
          </cell>
          <cell r="I768">
            <v>7.6844609298432575E-5</v>
          </cell>
        </row>
        <row r="769">
          <cell r="A769" t="str">
            <v>T_TW-FCLH2O-S4</v>
          </cell>
          <cell r="B769" t="str">
            <v>VAR_ncap</v>
          </cell>
          <cell r="C769" t="str">
            <v>-</v>
          </cell>
          <cell r="G769">
            <v>1.22350245771284E-5</v>
          </cell>
          <cell r="H769">
            <v>1.30410428009811E-5</v>
          </cell>
          <cell r="I769">
            <v>1.23189581622254E-5</v>
          </cell>
        </row>
        <row r="770">
          <cell r="A770" t="str">
            <v>T_TW-FCLH2O-S4</v>
          </cell>
          <cell r="B770" t="str">
            <v>VAR_cap</v>
          </cell>
          <cell r="C770" t="str">
            <v>-</v>
          </cell>
          <cell r="G770">
            <v>1.22350245771284E-5</v>
          </cell>
          <cell r="H770">
            <v>3.9275875231120535E-5</v>
          </cell>
          <cell r="I770">
            <v>4.7434032212733918E-5</v>
          </cell>
        </row>
        <row r="771">
          <cell r="A771" t="str">
            <v>D-T-ELC-TW_Bat_S4</v>
          </cell>
          <cell r="B771" t="str">
            <v>VAR_fout</v>
          </cell>
          <cell r="C771" t="str">
            <v>T-ELC-TWSTGin_S4</v>
          </cell>
          <cell r="D771">
            <v>7.9875830618229379E-5</v>
          </cell>
          <cell r="E771">
            <v>1.5605728377279189E-4</v>
          </cell>
          <cell r="F771">
            <v>2.0766141322293836E-4</v>
          </cell>
          <cell r="G771">
            <v>5.5539575143223269E-3</v>
          </cell>
          <cell r="H771">
            <v>1.182943689142185E-2</v>
          </cell>
          <cell r="I771">
            <v>9.1913184163749176E-3</v>
          </cell>
        </row>
        <row r="772">
          <cell r="A772" t="str">
            <v>D-T-ELC-TW_Bat_S4</v>
          </cell>
          <cell r="B772" t="str">
            <v>VAR_fin</v>
          </cell>
          <cell r="C772" t="str">
            <v>TELC</v>
          </cell>
          <cell r="D772">
            <v>7.9875830618229379E-5</v>
          </cell>
          <cell r="E772">
            <v>1.5605728377279189E-4</v>
          </cell>
          <cell r="F772">
            <v>2.0766141322293836E-4</v>
          </cell>
          <cell r="G772">
            <v>5.5539575143223269E-3</v>
          </cell>
          <cell r="H772">
            <v>1.182943689142185E-2</v>
          </cell>
          <cell r="I772">
            <v>9.1913184163749176E-3</v>
          </cell>
        </row>
        <row r="773">
          <cell r="A773" t="str">
            <v>D-T-ELC-TW_Bat_S4</v>
          </cell>
          <cell r="B773" t="str">
            <v>VAR_ncap</v>
          </cell>
          <cell r="C773" t="str">
            <v>-</v>
          </cell>
          <cell r="D773">
            <v>1.7738400348140599E-4</v>
          </cell>
          <cell r="E773">
            <v>1.1306662719787601E-6</v>
          </cell>
          <cell r="F773">
            <v>2.7762106178199898E-6</v>
          </cell>
          <cell r="G773">
            <v>4.0651833470083299E-4</v>
          </cell>
          <cell r="H773">
            <v>2.5710140271265201E-5</v>
          </cell>
          <cell r="I773">
            <v>2.53941604741534E-5</v>
          </cell>
        </row>
        <row r="774">
          <cell r="A774" t="str">
            <v>D-T-ELC-TW_Bat_S4</v>
          </cell>
          <cell r="B774" t="str">
            <v>VAR_cap</v>
          </cell>
          <cell r="C774" t="str">
            <v>-</v>
          </cell>
          <cell r="D774">
            <v>1.7738400348140599E-4</v>
          </cell>
          <cell r="E774">
            <v>1.78514669753385E-4</v>
          </cell>
          <cell r="F774">
            <v>1.8129088037120499E-4</v>
          </cell>
          <cell r="G774">
            <v>5.8780921507203799E-4</v>
          </cell>
          <cell r="H774">
            <v>1.2525005899089001E-3</v>
          </cell>
          <cell r="I774">
            <v>9.7260166032980095E-4</v>
          </cell>
        </row>
        <row r="775">
          <cell r="A775" t="str">
            <v>T_B_u-ICENGA-S1</v>
          </cell>
          <cell r="B775" t="str">
            <v>VAR_fout</v>
          </cell>
          <cell r="C775" t="str">
            <v>CO2_T</v>
          </cell>
          <cell r="E775">
            <v>3.8588246750823202E-2</v>
          </cell>
          <cell r="F775">
            <v>0.13390276051332961</v>
          </cell>
          <cell r="G775">
            <v>1.30540428514719E-4</v>
          </cell>
          <cell r="H775">
            <v>1.2395928452688199E-4</v>
          </cell>
          <cell r="I775">
            <v>7.4802973514373207E-5</v>
          </cell>
        </row>
        <row r="776">
          <cell r="A776" t="str">
            <v>T_B_u-ICENGA-S1</v>
          </cell>
          <cell r="B776" t="str">
            <v>VAR_fout</v>
          </cell>
          <cell r="C776" t="str">
            <v>TPBSu</v>
          </cell>
          <cell r="E776">
            <v>8.2265161006401123E-5</v>
          </cell>
          <cell r="F776">
            <v>2.9560195069921579E-4</v>
          </cell>
          <cell r="G776">
            <v>3.1880365191078348E-7</v>
          </cell>
          <cell r="H776">
            <v>3.3607446601690055E-7</v>
          </cell>
          <cell r="I776">
            <v>2.2292430971390986E-7</v>
          </cell>
        </row>
        <row r="777">
          <cell r="A777" t="str">
            <v>T_B_u-ICENGA-S1</v>
          </cell>
          <cell r="B777" t="str">
            <v>VAR_fin</v>
          </cell>
          <cell r="C777" t="str">
            <v>TNGA</v>
          </cell>
          <cell r="E777">
            <v>6.8418877217771615E-4</v>
          </cell>
          <cell r="F777">
            <v>2.3741624204491095E-3</v>
          </cell>
          <cell r="G777">
            <v>2.3145466048709092E-6</v>
          </cell>
          <cell r="H777">
            <v>2.1978596547319493E-6</v>
          </cell>
          <cell r="I777">
            <v>1.3262938566378231E-6</v>
          </cell>
        </row>
        <row r="778">
          <cell r="A778" t="str">
            <v>T_B_u-ICENGA-S1</v>
          </cell>
          <cell r="B778" t="str">
            <v>VAR_ncap</v>
          </cell>
          <cell r="C778" t="str">
            <v>-</v>
          </cell>
          <cell r="E778">
            <v>1.9717471632981499E-6</v>
          </cell>
          <cell r="F778">
            <v>3.8025200142353502E-6</v>
          </cell>
          <cell r="G778">
            <v>1.8755929381717399E-8</v>
          </cell>
          <cell r="H778">
            <v>1.9373554595446201E-8</v>
          </cell>
          <cell r="I778">
            <v>1.7641766940836101E-8</v>
          </cell>
        </row>
        <row r="779">
          <cell r="A779" t="str">
            <v>T_B_u-ICENGA-S1</v>
          </cell>
          <cell r="B779" t="str">
            <v>VAR_cap</v>
          </cell>
          <cell r="C779" t="str">
            <v>-</v>
          </cell>
          <cell r="E779">
            <v>1.9717471632981499E-6</v>
          </cell>
          <cell r="F779">
            <v>5.7742671775335001E-6</v>
          </cell>
          <cell r="G779">
            <v>4.0770076552980349E-8</v>
          </cell>
          <cell r="H779">
            <v>4.2004413803292397E-8</v>
          </cell>
          <cell r="I779">
            <v>3.0746177285475702E-8</v>
          </cell>
        </row>
        <row r="780">
          <cell r="A780" t="str">
            <v>T_B_u-ICENGA-S2</v>
          </cell>
          <cell r="B780" t="str">
            <v>VAR_fout</v>
          </cell>
          <cell r="C780" t="str">
            <v>CO2_T</v>
          </cell>
          <cell r="E780">
            <v>2.5438828110151499E-2</v>
          </cell>
          <cell r="F780">
            <v>0.8886116951086428</v>
          </cell>
        </row>
        <row r="781">
          <cell r="A781" t="str">
            <v>T_B_u-ICENGA-S2</v>
          </cell>
          <cell r="B781" t="str">
            <v>VAR_fout</v>
          </cell>
          <cell r="C781" t="str">
            <v>TPBSu</v>
          </cell>
          <cell r="E781">
            <v>3.8337791684402919E-5</v>
          </cell>
          <cell r="F781">
            <v>1.4065343373389392E-3</v>
          </cell>
        </row>
        <row r="782">
          <cell r="A782" t="str">
            <v>T_B_u-ICENGA-S2</v>
          </cell>
          <cell r="B782" t="str">
            <v>VAR_fin</v>
          </cell>
          <cell r="C782" t="str">
            <v>TNGA</v>
          </cell>
          <cell r="E782">
            <v>4.5104305159843075E-4</v>
          </cell>
          <cell r="F782">
            <v>1.5755526509018482E-2</v>
          </cell>
        </row>
        <row r="783">
          <cell r="A783" t="str">
            <v>T_B_u-ICENGA-S2</v>
          </cell>
          <cell r="B783" t="str">
            <v>VAR_ncap</v>
          </cell>
          <cell r="C783" t="str">
            <v>-</v>
          </cell>
          <cell r="E783">
            <v>8.8170113755688696E-7</v>
          </cell>
          <cell r="F783">
            <v>2.5697555467232701E-5</v>
          </cell>
        </row>
        <row r="784">
          <cell r="A784" t="str">
            <v>T_B_u-ICENGA-S2</v>
          </cell>
          <cell r="B784" t="str">
            <v>VAR_cap</v>
          </cell>
          <cell r="C784" t="str">
            <v>-</v>
          </cell>
          <cell r="E784">
            <v>8.8170113755688696E-7</v>
          </cell>
          <cell r="F784">
            <v>2.6579256604789599E-5</v>
          </cell>
          <cell r="G784">
            <v>7.4715701675028077E-9</v>
          </cell>
        </row>
        <row r="785">
          <cell r="A785" t="str">
            <v>T_B_c-ICEDSLEXT</v>
          </cell>
          <cell r="B785" t="str">
            <v>VAR_fout</v>
          </cell>
          <cell r="C785" t="str">
            <v>CO2_T</v>
          </cell>
          <cell r="D785">
            <v>0.441897272088489</v>
          </cell>
          <cell r="E785">
            <v>0.440788258771599</v>
          </cell>
          <cell r="F785">
            <v>0.437546651676266</v>
          </cell>
        </row>
        <row r="786">
          <cell r="A786" t="str">
            <v>T_B_c-ICEDSLEXT</v>
          </cell>
          <cell r="B786" t="str">
            <v>VAR_fout</v>
          </cell>
          <cell r="C786" t="str">
            <v>TPBSc</v>
          </cell>
          <cell r="D786">
            <v>5.9986195801836978E-2</v>
          </cell>
          <cell r="E786">
            <v>4.7985945648784591E-2</v>
          </cell>
          <cell r="F786">
            <v>2.9989210148516316E-2</v>
          </cell>
        </row>
        <row r="787">
          <cell r="A787" t="str">
            <v>T_B_c-ICEDSLEXT</v>
          </cell>
          <cell r="B787" t="str">
            <v>VAR_fin</v>
          </cell>
          <cell r="C787" t="str">
            <v>TDSL</v>
          </cell>
          <cell r="D787">
            <v>6.0286121703750075E-3</v>
          </cell>
          <cell r="E787">
            <v>6.0134823843328725E-3</v>
          </cell>
          <cell r="F787">
            <v>5.9692585494715671E-3</v>
          </cell>
        </row>
        <row r="788">
          <cell r="A788" t="str">
            <v>T_B_c-ICEDSLEXT</v>
          </cell>
          <cell r="B788" t="str">
            <v>VAR_cap</v>
          </cell>
          <cell r="C788" t="str">
            <v>-</v>
          </cell>
          <cell r="D788">
            <v>1.30332047521267E-3</v>
          </cell>
          <cell r="E788">
            <v>1.04265638017014E-3</v>
          </cell>
          <cell r="F788">
            <v>6.5166023760633498E-4</v>
          </cell>
        </row>
        <row r="789">
          <cell r="A789" t="str">
            <v>T_B_u-ICENGA-S3</v>
          </cell>
          <cell r="B789" t="str">
            <v>VAR_fout</v>
          </cell>
          <cell r="C789" t="str">
            <v>CO2_T</v>
          </cell>
          <cell r="E789">
            <v>2.2066025974735001E-2</v>
          </cell>
          <cell r="F789">
            <v>4.3738751647257601E-2</v>
          </cell>
          <cell r="H789">
            <v>6.0342614256629699E-4</v>
          </cell>
        </row>
        <row r="790">
          <cell r="A790" t="str">
            <v>T_B_u-ICENGA-S3</v>
          </cell>
          <cell r="B790" t="str">
            <v>VAR_fout</v>
          </cell>
          <cell r="C790" t="str">
            <v>TPBSu</v>
          </cell>
          <cell r="E790">
            <v>2.2074685505418898E-5</v>
          </cell>
          <cell r="F790">
            <v>4.4798741281236284E-5</v>
          </cell>
          <cell r="H790">
            <v>7.5918352420935428E-7</v>
          </cell>
        </row>
        <row r="791">
          <cell r="A791" t="str">
            <v>T_B_u-ICENGA-S3</v>
          </cell>
          <cell r="B791" t="str">
            <v>VAR_fin</v>
          </cell>
          <cell r="C791" t="str">
            <v>TNGA</v>
          </cell>
          <cell r="E791">
            <v>3.9124159529672057E-4</v>
          </cell>
          <cell r="F791">
            <v>7.7550978097974427E-4</v>
          </cell>
          <cell r="H791">
            <v>1.0699045080962714E-5</v>
          </cell>
        </row>
        <row r="792">
          <cell r="A792" t="str">
            <v>T_B_u-ICENGA-S3</v>
          </cell>
          <cell r="B792" t="str">
            <v>VAR_ncap</v>
          </cell>
          <cell r="C792" t="str">
            <v>-</v>
          </cell>
          <cell r="E792">
            <v>4.4525873298418199E-7</v>
          </cell>
          <cell r="F792">
            <v>3.9629100243655199E-7</v>
          </cell>
        </row>
        <row r="793">
          <cell r="A793" t="str">
            <v>T_B_u-ICENGA-S3</v>
          </cell>
          <cell r="B793" t="str">
            <v>VAR_cap</v>
          </cell>
          <cell r="C793" t="str">
            <v>-</v>
          </cell>
          <cell r="E793">
            <v>4.4525873298418199E-7</v>
          </cell>
          <cell r="F793">
            <v>8.4154973542073302E-7</v>
          </cell>
          <cell r="G793">
            <v>-4.3891802268805724E-10</v>
          </cell>
        </row>
        <row r="794">
          <cell r="A794" t="str">
            <v>T_B_u-ICENGA-S4</v>
          </cell>
          <cell r="B794" t="str">
            <v>VAR_fout</v>
          </cell>
          <cell r="C794" t="str">
            <v>CO2_T</v>
          </cell>
          <cell r="E794">
            <v>6.3252233399297905E-4</v>
          </cell>
          <cell r="F794">
            <v>2.4967353008299728E-3</v>
          </cell>
        </row>
        <row r="795">
          <cell r="A795" t="str">
            <v>T_B_u-ICENGA-S4</v>
          </cell>
          <cell r="B795" t="str">
            <v>VAR_fout</v>
          </cell>
          <cell r="C795" t="str">
            <v>TPBSu</v>
          </cell>
          <cell r="E795">
            <v>4.2268145447659606E-7</v>
          </cell>
          <cell r="F795">
            <v>1.7220930636665575E-6</v>
          </cell>
        </row>
        <row r="796">
          <cell r="A796" t="str">
            <v>T_B_u-ICENGA-S4</v>
          </cell>
          <cell r="B796" t="str">
            <v>VAR_fin</v>
          </cell>
          <cell r="C796" t="str">
            <v>TNGA</v>
          </cell>
          <cell r="E796">
            <v>1.1214934999875511E-5</v>
          </cell>
          <cell r="F796">
            <v>4.4268356397694584E-5</v>
          </cell>
        </row>
        <row r="797">
          <cell r="A797" t="str">
            <v>T_B_u-ICENGA-S4</v>
          </cell>
          <cell r="B797" t="str">
            <v>VAR_ncap</v>
          </cell>
          <cell r="C797" t="str">
            <v>-</v>
          </cell>
          <cell r="E797">
            <v>2.0351604456982701E-8</v>
          </cell>
          <cell r="F797">
            <v>2.9864791662965898E-8</v>
          </cell>
        </row>
        <row r="798">
          <cell r="A798" t="str">
            <v>T_B_u-ICENGA-S4</v>
          </cell>
          <cell r="B798" t="str">
            <v>VAR_cap</v>
          </cell>
          <cell r="C798" t="str">
            <v>-</v>
          </cell>
          <cell r="E798">
            <v>2.0351604456982701E-8</v>
          </cell>
          <cell r="F798">
            <v>5.0216396119948599E-8</v>
          </cell>
          <cell r="G798">
            <v>-7.4275047362200136E-10</v>
          </cell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18.873061116679573</v>
          </cell>
          <cell r="C9">
            <v>21.778103064108812</v>
          </cell>
          <cell r="D9">
            <v>34.237680339848779</v>
          </cell>
          <cell r="E9">
            <v>62.803852357927866</v>
          </cell>
          <cell r="F9">
            <v>92.754211559874634</v>
          </cell>
          <cell r="G9">
            <v>92.185586219950679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1.2530926930719329E-3</v>
          </cell>
          <cell r="G28">
            <v>1.3710859170397679E-3</v>
          </cell>
        </row>
      </sheetData>
      <sheetData sheetId="31"/>
      <sheetData sheetId="32"/>
      <sheetData sheetId="33">
        <row r="14">
          <cell r="B14">
            <v>82.760001047023053</v>
          </cell>
          <cell r="C14">
            <v>82.75988086646197</v>
          </cell>
          <cell r="D14">
            <v>70.327301573168086</v>
          </cell>
          <cell r="E14">
            <v>69.196990626322162</v>
          </cell>
          <cell r="F14">
            <v>32.820793630123951</v>
          </cell>
          <cell r="G14">
            <v>0</v>
          </cell>
        </row>
        <row r="15">
          <cell r="B15">
            <v>66.745680037910205</v>
          </cell>
          <cell r="C15">
            <v>49.798798199551555</v>
          </cell>
          <cell r="D15">
            <v>68.534871720406599</v>
          </cell>
          <cell r="E15">
            <v>70.207444882694688</v>
          </cell>
          <cell r="F15">
            <v>72.378790765899794</v>
          </cell>
          <cell r="G15">
            <v>74.335877429190887</v>
          </cell>
        </row>
        <row r="16">
          <cell r="B16">
            <v>66.632402450035997</v>
          </cell>
          <cell r="C16">
            <v>55.764000771154585</v>
          </cell>
          <cell r="D16">
            <v>65.550470630124664</v>
          </cell>
          <cell r="E16">
            <v>64.491829575698375</v>
          </cell>
          <cell r="F16">
            <v>62.323588762492044</v>
          </cell>
          <cell r="G16">
            <v>60.977329968934797</v>
          </cell>
        </row>
        <row r="17">
          <cell r="B17">
            <v>12.841922732957119</v>
          </cell>
          <cell r="C17">
            <v>16.035182170204674</v>
          </cell>
          <cell r="D17">
            <v>49.516345954231774</v>
          </cell>
          <cell r="E17">
            <v>43.526534943485018</v>
          </cell>
          <cell r="F17">
            <v>13.027113489264085</v>
          </cell>
          <cell r="G17">
            <v>13.182214490263256</v>
          </cell>
        </row>
        <row r="18">
          <cell r="B18">
            <v>3.9601427067775474E-2</v>
          </cell>
          <cell r="C18">
            <v>1.8403553739466068E-4</v>
          </cell>
          <cell r="D18">
            <v>2.6854969257485389E-3</v>
          </cell>
          <cell r="E18">
            <v>3.5454857055639222E-4</v>
          </cell>
          <cell r="F18">
            <v>1.8966182865099853E-3</v>
          </cell>
          <cell r="G18">
            <v>1.665873710369286E-5</v>
          </cell>
        </row>
        <row r="19">
          <cell r="B19">
            <v>6.5070006277525021</v>
          </cell>
          <cell r="C19">
            <v>7.3204333530632599</v>
          </cell>
          <cell r="D19">
            <v>7.4118141401359061</v>
          </cell>
          <cell r="E19">
            <v>7.488393310104744</v>
          </cell>
          <cell r="F19">
            <v>7.6644343538793649</v>
          </cell>
          <cell r="G19">
            <v>4.6534311147955494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3.5488565471105534E-3</v>
          </cell>
          <cell r="G20">
            <v>4.4441163100080994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2.1390204760554171E-2</v>
          </cell>
          <cell r="G21">
            <v>1.834314700057E-2</v>
          </cell>
        </row>
        <row r="22">
          <cell r="B22">
            <v>0</v>
          </cell>
          <cell r="C22">
            <v>8.222790847770211E-4</v>
          </cell>
          <cell r="D22">
            <v>4.3857899090255434E-3</v>
          </cell>
          <cell r="E22">
            <v>7.7484117424957524E-4</v>
          </cell>
          <cell r="F22">
            <v>3.9557991126638353E-2</v>
          </cell>
          <cell r="G22">
            <v>1.4317297670901291E-2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1.8405896024327084E-3</v>
          </cell>
          <cell r="G23">
            <v>4.4413007175727852</v>
          </cell>
        </row>
        <row r="24">
          <cell r="B24">
            <v>0.96588093895724347</v>
          </cell>
          <cell r="C24">
            <v>1.0098322425074937E-3</v>
          </cell>
          <cell r="D24">
            <v>2.1235546443102264E-3</v>
          </cell>
          <cell r="E24">
            <v>1.0955597482838341E-3</v>
          </cell>
          <cell r="F24">
            <v>7.0219498185359538E-2</v>
          </cell>
          <cell r="G24">
            <v>5.2647299777857899E-4</v>
          </cell>
        </row>
        <row r="25">
          <cell r="B25">
            <v>0.39264219267777456</v>
          </cell>
          <cell r="C25">
            <v>4.3608106281777831E-2</v>
          </cell>
          <cell r="D25">
            <v>7.4994203475084705E-3</v>
          </cell>
          <cell r="E25">
            <v>3.6619370746073389E-2</v>
          </cell>
          <cell r="F25">
            <v>1.9950317503890072</v>
          </cell>
          <cell r="G25">
            <v>2.4633978301012287</v>
          </cell>
        </row>
        <row r="26">
          <cell r="B26">
            <v>1.5176367078336552</v>
          </cell>
          <cell r="C26">
            <v>1.4147443998290588</v>
          </cell>
          <cell r="D26">
            <v>1.4274994854869165</v>
          </cell>
          <cell r="E26">
            <v>1.4443390003938474</v>
          </cell>
          <cell r="F26">
            <v>1.4204502357961379</v>
          </cell>
          <cell r="G26">
            <v>0.6993096040007365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5.9397313076087264E-4</v>
          </cell>
          <cell r="G27">
            <v>0.71175194039821144</v>
          </cell>
        </row>
        <row r="28">
          <cell r="B28">
            <v>1.8014275676150734E-3</v>
          </cell>
          <cell r="C28">
            <v>1.2118199101121054E-4</v>
          </cell>
          <cell r="D28">
            <v>1.0626806845852896E-3</v>
          </cell>
          <cell r="E28">
            <v>2.6284231223316185E-4</v>
          </cell>
          <cell r="F28">
            <v>7.1088459788316372E-4</v>
          </cell>
          <cell r="G28">
            <v>2.2962824968938383E-6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0.41736138336852047</v>
          </cell>
          <cell r="G29">
            <v>0.71411554418193357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1.2097132449590178E-3</v>
          </cell>
          <cell r="G30">
            <v>0.19100354741535408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5.8554264704419056E-4</v>
          </cell>
          <cell r="G31">
            <v>1.0544997213019536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0.54529225122661173</v>
          </cell>
          <cell r="D33">
            <v>0.50322602221778379</v>
          </cell>
          <cell r="E33">
            <v>1.088219349295845</v>
          </cell>
          <cell r="F33">
            <v>3.0600118362774396</v>
          </cell>
          <cell r="G33">
            <v>6.1200009293579667</v>
          </cell>
        </row>
        <row r="34">
          <cell r="B34">
            <v>0</v>
          </cell>
          <cell r="C34">
            <v>0</v>
          </cell>
          <cell r="D34">
            <v>0.14079953432808703</v>
          </cell>
          <cell r="E34">
            <v>4.8491659751166152</v>
          </cell>
          <cell r="F34">
            <v>4.8517211651252916</v>
          </cell>
          <cell r="G34">
            <v>4.6390501257709511</v>
          </cell>
        </row>
        <row r="35">
          <cell r="B35">
            <v>3.517953999707534</v>
          </cell>
          <cell r="C35">
            <v>4.8498359267292228</v>
          </cell>
          <cell r="D35">
            <v>9.5944986244111021</v>
          </cell>
          <cell r="E35">
            <v>17.736887719519139</v>
          </cell>
          <cell r="F35">
            <v>33.151371944662564</v>
          </cell>
          <cell r="G35">
            <v>51.000303784876223</v>
          </cell>
        </row>
        <row r="36">
          <cell r="B36">
            <v>2.1349390887346629</v>
          </cell>
          <cell r="C36">
            <v>3.3907132089156446</v>
          </cell>
          <cell r="D36">
            <v>8.0482196446336349</v>
          </cell>
          <cell r="E36">
            <v>14.087836436121661</v>
          </cell>
          <cell r="F36">
            <v>11.292613048179998</v>
          </cell>
          <cell r="G36">
            <v>1.3883910430851205</v>
          </cell>
        </row>
        <row r="37">
          <cell r="B37">
            <v>0.86248322578584768</v>
          </cell>
          <cell r="C37">
            <v>1.2876385226786284</v>
          </cell>
          <cell r="D37">
            <v>4.184099486117959</v>
          </cell>
          <cell r="E37">
            <v>9.1198275356946468</v>
          </cell>
          <cell r="F37">
            <v>10.073996992066899</v>
          </cell>
          <cell r="G37">
            <v>11.127978604662303</v>
          </cell>
        </row>
        <row r="38">
          <cell r="B38">
            <v>2.8396236857719668</v>
          </cell>
          <cell r="C38">
            <v>3.294455214415414</v>
          </cell>
          <cell r="D38">
            <v>6.8323881202784733</v>
          </cell>
          <cell r="E38">
            <v>17.902342735883629</v>
          </cell>
          <cell r="F38">
            <v>19.775331397756425</v>
          </cell>
          <cell r="G38">
            <v>21.844271382989032</v>
          </cell>
        </row>
        <row r="39">
          <cell r="B39">
            <v>0.66996712909807532</v>
          </cell>
          <cell r="C39">
            <v>0.1010620776950945</v>
          </cell>
          <cell r="D39">
            <v>4.9727297321387746E-2</v>
          </cell>
          <cell r="E39">
            <v>2.3625528360051631E-2</v>
          </cell>
          <cell r="F39">
            <v>5.6593285977949159E-3</v>
          </cell>
          <cell r="G39">
            <v>1.2275116423180327E-2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7.5818518019243224E-4</v>
          </cell>
          <cell r="G40">
            <v>7.1171877763425463E-3</v>
          </cell>
        </row>
        <row r="41">
          <cell r="B41">
            <v>7.0502848622213926E-2</v>
          </cell>
          <cell r="C41">
            <v>0.17122358423666084</v>
          </cell>
          <cell r="D41">
            <v>3.4892353440908355E-3</v>
          </cell>
          <cell r="E41">
            <v>0.17091371583155654</v>
          </cell>
          <cell r="F41">
            <v>2.3403471796464696E-3</v>
          </cell>
          <cell r="G41">
            <v>8.1213066174298104E-3</v>
          </cell>
        </row>
        <row r="42">
          <cell r="B42">
            <v>0.17255535447939477</v>
          </cell>
          <cell r="C42">
            <v>0.52159944463074903</v>
          </cell>
          <cell r="D42">
            <v>1.1332273049278159</v>
          </cell>
          <cell r="E42">
            <v>1.4971256597424241</v>
          </cell>
          <cell r="F42">
            <v>1.9138748701632613</v>
          </cell>
          <cell r="G42">
            <v>0.39470482369427667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0.62711815667217086</v>
          </cell>
          <cell r="G43">
            <v>3.0255107086520172</v>
          </cell>
        </row>
        <row r="44">
          <cell r="B44">
            <v>0.23004213834565715</v>
          </cell>
          <cell r="C44">
            <v>0.22654704309691229</v>
          </cell>
          <cell r="D44">
            <v>0.33670699221493644</v>
          </cell>
          <cell r="E44">
            <v>0.34371067707724789</v>
          </cell>
          <cell r="F44">
            <v>0.26075780635625556</v>
          </cell>
          <cell r="G44">
            <v>1.1978763695081717E-4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6.010429109085777E-2</v>
          </cell>
          <cell r="G45">
            <v>0.59274740105195012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1.9227513049133649</v>
          </cell>
          <cell r="F46">
            <v>9.42695229606446E-2</v>
          </cell>
          <cell r="G46">
            <v>3.9550009175181295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4.7080953903739364E-4</v>
          </cell>
          <cell r="F47">
            <v>1.6689896875290813E-3</v>
          </cell>
          <cell r="G47">
            <v>4.8649432178524741</v>
          </cell>
        </row>
        <row r="48">
          <cell r="B48">
            <v>1.4897582226393922E-2</v>
          </cell>
          <cell r="C48">
            <v>8.3493073734307571E-3</v>
          </cell>
          <cell r="D48">
            <v>4.5915909693068444E-3</v>
          </cell>
          <cell r="E48">
            <v>2.2382518939599197E-3</v>
          </cell>
          <cell r="F48">
            <v>5.7345346510392697E-3</v>
          </cell>
          <cell r="G48">
            <v>3.0546688806588757E-3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2.7733525211212097E-4</v>
          </cell>
          <cell r="F49">
            <v>1.0061499878482143E-3</v>
          </cell>
          <cell r="G49">
            <v>8.5264387214684003E-4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1.7513936786638746E-3</v>
          </cell>
          <cell r="F50">
            <v>1.6267138727612059E-3</v>
          </cell>
          <cell r="G50">
            <v>8.8195177401438054E-4</v>
          </cell>
        </row>
        <row r="51">
          <cell r="B51">
            <v>2.7976026091200732E-2</v>
          </cell>
          <cell r="C51">
            <v>2.5718442038973402E-3</v>
          </cell>
          <cell r="D51">
            <v>6.0905287679679761E-3</v>
          </cell>
          <cell r="E51">
            <v>2.0832534831503697E-3</v>
          </cell>
          <cell r="F51">
            <v>1.4907336669344411</v>
          </cell>
          <cell r="G51">
            <v>0.91614417264058923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6.202981138979472E-4</v>
          </cell>
          <cell r="F52">
            <v>4.8095212531629392E-2</v>
          </cell>
          <cell r="G52">
            <v>0.18184895777352711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5.7299064998421294E-3</v>
          </cell>
          <cell r="F53">
            <v>3.4883570980816692E-3</v>
          </cell>
          <cell r="G53">
            <v>1.8595100617443965E-3</v>
          </cell>
        </row>
        <row r="54">
          <cell r="B54">
            <v>0.95936608840194293</v>
          </cell>
          <cell r="C54">
            <v>1.1059703314023126</v>
          </cell>
          <cell r="D54">
            <v>1.1059698491146788</v>
          </cell>
          <cell r="E54">
            <v>1.1059699414783823</v>
          </cell>
          <cell r="F54">
            <v>1.106145232659695</v>
          </cell>
          <cell r="G54">
            <v>1.1061457498503979</v>
          </cell>
        </row>
        <row r="55">
          <cell r="B55">
            <v>0.59440313009575585</v>
          </cell>
          <cell r="C55">
            <v>0.62593126979329428</v>
          </cell>
          <cell r="D55">
            <v>2.2671888826165977E-3</v>
          </cell>
          <cell r="E55">
            <v>5.4606834145031022E-4</v>
          </cell>
          <cell r="F55">
            <v>7.8158006882648959E-3</v>
          </cell>
          <cell r="G55">
            <v>3.6902697435041817E-4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5.4932898602473861E-4</v>
          </cell>
          <cell r="F56">
            <v>1.1229702499674097E-3</v>
          </cell>
          <cell r="G56">
            <v>3.8661029051496925E-4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1.3089464410007683E-3</v>
          </cell>
          <cell r="F57">
            <v>8.9387743660763748E-4</v>
          </cell>
          <cell r="G57">
            <v>1.0897738802256708E-3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2.1085535081677803E-4</v>
          </cell>
          <cell r="F58">
            <v>6.4751565675255788E-3</v>
          </cell>
          <cell r="G58">
            <v>6.1883153571147653E-2</v>
          </cell>
        </row>
        <row r="70">
          <cell r="B70">
            <v>9.4557975559616994E-2</v>
          </cell>
          <cell r="C70">
            <v>8.0366184672118375E-3</v>
          </cell>
          <cell r="D70">
            <v>9.4506673431740865E-2</v>
          </cell>
          <cell r="E70">
            <v>9.4502294010359103E-2</v>
          </cell>
          <cell r="F70">
            <v>2.2070820947613604E-2</v>
          </cell>
          <cell r="G70">
            <v>1.6038098263053791E-2</v>
          </cell>
        </row>
        <row r="71">
          <cell r="B71">
            <v>4.9872619603808154E-3</v>
          </cell>
          <cell r="C71">
            <v>4.1254078059085875E-3</v>
          </cell>
          <cell r="D71">
            <v>5.1382587284160564E-3</v>
          </cell>
          <cell r="E71">
            <v>6.7482797336302558E-3</v>
          </cell>
          <cell r="F71">
            <v>0.20379583030273238</v>
          </cell>
          <cell r="G71">
            <v>0.22821799493865674</v>
          </cell>
        </row>
        <row r="72">
          <cell r="B72">
            <v>4.5260787732227742E-3</v>
          </cell>
          <cell r="C72">
            <v>3.668086468437711E-3</v>
          </cell>
          <cell r="D72">
            <v>4.658805802667817E-3</v>
          </cell>
          <cell r="E72">
            <v>5.8496765269589737E-3</v>
          </cell>
          <cell r="F72">
            <v>2.1900213346405656E-2</v>
          </cell>
          <cell r="G72">
            <v>2.5083551577351634E-2</v>
          </cell>
        </row>
        <row r="73">
          <cell r="B73">
            <v>1.4295121206802065E-3</v>
          </cell>
          <cell r="C73">
            <v>1.4229673838499943E-3</v>
          </cell>
          <cell r="D73">
            <v>1.4470915167810465E-3</v>
          </cell>
          <cell r="E73">
            <v>4.4443613036578653E-3</v>
          </cell>
          <cell r="F73">
            <v>7.4766504726388808E-3</v>
          </cell>
          <cell r="G73">
            <v>4.1420647619845423E-3</v>
          </cell>
        </row>
        <row r="74">
          <cell r="B74">
            <v>3.3274013649348096E-3</v>
          </cell>
          <cell r="C74">
            <v>3.3130608705225825E-3</v>
          </cell>
          <cell r="D74">
            <v>3.3548445850018773E-3</v>
          </cell>
          <cell r="E74">
            <v>0.21414766575046812</v>
          </cell>
          <cell r="F74">
            <v>0.21829714856070653</v>
          </cell>
          <cell r="G74">
            <v>0.10486891054325881</v>
          </cell>
        </row>
        <row r="75">
          <cell r="B75">
            <v>3.3300436869214507E-3</v>
          </cell>
          <cell r="C75">
            <v>3.315678619383723E-3</v>
          </cell>
          <cell r="D75">
            <v>3.3576889424297316E-3</v>
          </cell>
          <cell r="E75">
            <v>0.2231796120607818</v>
          </cell>
          <cell r="F75">
            <v>0.22051142495187112</v>
          </cell>
          <cell r="G75">
            <v>0.10487931538067678</v>
          </cell>
        </row>
        <row r="76">
          <cell r="B76">
            <v>1.4353795381817941E-3</v>
          </cell>
          <cell r="C76">
            <v>1.4288827044709989E-3</v>
          </cell>
          <cell r="D76">
            <v>1.4524341357785872E-3</v>
          </cell>
          <cell r="E76">
            <v>4.434601612288612E-3</v>
          </cell>
          <cell r="F76">
            <v>6.6113139773589704E-3</v>
          </cell>
          <cell r="G76">
            <v>3.7486103295687754E-3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1.0651287891111434E-3</v>
          </cell>
          <cell r="G90">
            <v>1.1654230294838028E-3</v>
          </cell>
        </row>
        <row r="91">
          <cell r="B91">
            <v>1.8035515735151193</v>
          </cell>
          <cell r="C91">
            <v>1.9404481597247367E-3</v>
          </cell>
          <cell r="D91">
            <v>4.2534720473509013E-3</v>
          </cell>
          <cell r="E91">
            <v>2.3431084696829431E-3</v>
          </cell>
          <cell r="F91">
            <v>0.14856582761903953</v>
          </cell>
          <cell r="G91">
            <v>1.1020274229678341E-3</v>
          </cell>
        </row>
        <row r="92">
          <cell r="B92">
            <v>1.1789898812574804</v>
          </cell>
          <cell r="C92">
            <v>0.22250925431748053</v>
          </cell>
          <cell r="D92">
            <v>1.9802458845426092E-2</v>
          </cell>
          <cell r="E92">
            <v>9.5897515995631524E-2</v>
          </cell>
          <cell r="F92">
            <v>5.2175672497441008</v>
          </cell>
          <cell r="G92">
            <v>6.4424898414048002</v>
          </cell>
        </row>
        <row r="93">
          <cell r="B93">
            <v>14.15981647264652</v>
          </cell>
          <cell r="C93">
            <v>13.083218702374753</v>
          </cell>
          <cell r="D93">
            <v>13.178288957641847</v>
          </cell>
          <cell r="E93">
            <v>12.935541185491962</v>
          </cell>
          <cell r="F93">
            <v>12.034730981508154</v>
          </cell>
          <cell r="G93">
            <v>10.757713877187491</v>
          </cell>
        </row>
        <row r="94">
          <cell r="B94">
            <v>9.2644846334489373E-3</v>
          </cell>
          <cell r="C94">
            <v>6.2322166805765409E-4</v>
          </cell>
          <cell r="D94">
            <v>5.4652149492957674E-3</v>
          </cell>
          <cell r="E94">
            <v>1.3517604629134036E-3</v>
          </cell>
          <cell r="F94">
            <v>3.6559779319705579E-3</v>
          </cell>
          <cell r="G94">
            <v>1.6467506001828454E-5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0.53213576379486371</v>
          </cell>
          <cell r="G95">
            <v>0.94620309604106156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1.4689375117359436E-3</v>
          </cell>
          <cell r="G96">
            <v>0.2410282860241369</v>
          </cell>
        </row>
        <row r="97">
          <cell r="B97">
            <v>1.732901331707283</v>
          </cell>
          <cell r="C97">
            <v>0.82010066934790371</v>
          </cell>
          <cell r="D97">
            <v>5.9753850953351897</v>
          </cell>
          <cell r="E97">
            <v>5.9477909579930026</v>
          </cell>
          <cell r="F97">
            <v>1.6514694684531011</v>
          </cell>
          <cell r="G97">
            <v>1.2786503303763462E-4</v>
          </cell>
        </row>
        <row r="98">
          <cell r="B98">
            <v>0.90177644322995876</v>
          </cell>
          <cell r="C98">
            <v>0.30215093015924038</v>
          </cell>
          <cell r="D98">
            <v>2.024218258977693E-3</v>
          </cell>
          <cell r="E98">
            <v>2.3036424333361554</v>
          </cell>
          <cell r="F98">
            <v>2.5822256466195492</v>
          </cell>
          <cell r="G98">
            <v>3.2638212157526492E-2</v>
          </cell>
        </row>
        <row r="99">
          <cell r="B99">
            <v>1.4500056911925576</v>
          </cell>
          <cell r="C99">
            <v>3.8016676618055705</v>
          </cell>
          <cell r="D99">
            <v>3.8003323235392847</v>
          </cell>
          <cell r="E99">
            <v>1.0357994872748932</v>
          </cell>
          <cell r="F99">
            <v>0</v>
          </cell>
          <cell r="G99">
            <v>0</v>
          </cell>
        </row>
        <row r="100">
          <cell r="B100">
            <v>0.18407144809799639</v>
          </cell>
          <cell r="C100">
            <v>3.5488070379658505</v>
          </cell>
          <cell r="D100">
            <v>2.0855130306536534E-3</v>
          </cell>
          <cell r="E100">
            <v>6.3121469967948336E-3</v>
          </cell>
          <cell r="F100">
            <v>3.9143621914446651E-4</v>
          </cell>
          <cell r="G100">
            <v>0</v>
          </cell>
        </row>
        <row r="101">
          <cell r="B101">
            <v>1.6377257371452567</v>
          </cell>
          <cell r="C101">
            <v>1.478048228769828</v>
          </cell>
          <cell r="D101">
            <v>1.2672449252197404</v>
          </cell>
          <cell r="E101">
            <v>5.1312068308121681</v>
          </cell>
          <cell r="F101">
            <v>3.0722789883699986</v>
          </cell>
          <cell r="G101">
            <v>1.8394876117824277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3.701272732309313E-4</v>
          </cell>
          <cell r="F102">
            <v>3.6993767420699544E-4</v>
          </cell>
          <cell r="G102">
            <v>3.7027152265877193E-4</v>
          </cell>
        </row>
        <row r="103">
          <cell r="F103">
            <v>7.2685280671851912E-3</v>
          </cell>
          <cell r="G103">
            <v>2.1433599378420064E-2</v>
          </cell>
        </row>
        <row r="104">
          <cell r="B104">
            <v>0.92935573183827624</v>
          </cell>
          <cell r="C104">
            <v>2.0692898139972873</v>
          </cell>
          <cell r="D104">
            <v>3.6429513835435606E-2</v>
          </cell>
          <cell r="E104">
            <v>1.3159106863708703</v>
          </cell>
          <cell r="F104">
            <v>5.1878943139784328E-3</v>
          </cell>
          <cell r="G104">
            <v>1.8002662506254305E-2</v>
          </cell>
        </row>
        <row r="105">
          <cell r="B105">
            <v>0.6599255756172705</v>
          </cell>
          <cell r="C105">
            <v>1.8165324169745556</v>
          </cell>
          <cell r="D105">
            <v>3.3655790733042559</v>
          </cell>
          <cell r="E105">
            <v>3.1669965879166737</v>
          </cell>
          <cell r="F105">
            <v>5.3751775567672748</v>
          </cell>
          <cell r="G105">
            <v>7.2350713184248692</v>
          </cell>
        </row>
        <row r="106">
          <cell r="B106">
            <v>1.9347975180490224</v>
          </cell>
          <cell r="C106">
            <v>1.8296083924308704</v>
          </cell>
          <cell r="D106">
            <v>2.5502949864161573</v>
          </cell>
          <cell r="E106">
            <v>2.3158643077623582</v>
          </cell>
          <cell r="F106">
            <v>1.6251790156340713</v>
          </cell>
          <cell r="G106">
            <v>2.0111521166069699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2.3540476951869693E-4</v>
          </cell>
          <cell r="F107">
            <v>7.5027976778830295E-4</v>
          </cell>
          <cell r="G107">
            <v>1.9630472633439842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1.4372080460968601</v>
          </cell>
          <cell r="F108">
            <v>5.6561713776386767E-2</v>
          </cell>
          <cell r="G108">
            <v>1.9775004587590648</v>
          </cell>
        </row>
        <row r="109">
          <cell r="B109">
            <v>4.2738166852198445E-2</v>
          </cell>
          <cell r="C109">
            <v>2.0652214335300415E-2</v>
          </cell>
          <cell r="D109">
            <v>1.6284996945464925E-2</v>
          </cell>
          <cell r="E109">
            <v>6.6448715904096657E-3</v>
          </cell>
          <cell r="F109">
            <v>3.7641111530586233E-2</v>
          </cell>
          <cell r="G109">
            <v>1.1761004932103714E-2</v>
          </cell>
        </row>
        <row r="110">
          <cell r="B110">
            <v>1.577747175371807E-4</v>
          </cell>
          <cell r="C110">
            <v>1.8544190756208348E-4</v>
          </cell>
          <cell r="D110">
            <v>8.8210566021225005E-5</v>
          </cell>
          <cell r="E110">
            <v>5.8910254092106422E-3</v>
          </cell>
          <cell r="F110">
            <v>1.1169718332381912E-2</v>
          </cell>
          <cell r="G110">
            <v>5.0577742463551898E-3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8.5425829414504759E-2</v>
          </cell>
          <cell r="C112">
            <v>6.2524293217253576E-3</v>
          </cell>
          <cell r="D112">
            <v>1.9712822551552225E-2</v>
          </cell>
          <cell r="E112">
            <v>6.1995732984835468E-3</v>
          </cell>
          <cell r="F112">
            <v>3.4677008588417539</v>
          </cell>
          <cell r="G112">
            <v>2.0848429514484788</v>
          </cell>
        </row>
        <row r="113">
          <cell r="B113">
            <v>1.9408437085216936E-4</v>
          </cell>
          <cell r="C113">
            <v>2.0528840401982603E-4</v>
          </cell>
          <cell r="D113">
            <v>8.8861090929004508E-5</v>
          </cell>
          <cell r="E113">
            <v>1.718433994189247E-2</v>
          </cell>
          <cell r="F113">
            <v>1.8883202229792877E-2</v>
          </cell>
          <cell r="G113">
            <v>8.2647368235654953E-3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1.424310563654253</v>
          </cell>
          <cell r="C115">
            <v>1.5783618256687013</v>
          </cell>
          <cell r="D115">
            <v>1.4829569072472446</v>
          </cell>
          <cell r="E115">
            <v>1.3239499675902595</v>
          </cell>
          <cell r="F115">
            <v>1.0060952768151468</v>
          </cell>
          <cell r="G115">
            <v>1.0060957472263621</v>
          </cell>
        </row>
        <row r="116">
          <cell r="B116">
            <v>0.69258238227648128</v>
          </cell>
          <cell r="C116">
            <v>0.75027599333797712</v>
          </cell>
          <cell r="D116">
            <v>2.8314460102245691E-3</v>
          </cell>
          <cell r="E116">
            <v>7.2768325578505895E-4</v>
          </cell>
          <cell r="F116">
            <v>1.172370103239734E-2</v>
          </cell>
          <cell r="G116">
            <v>5.5354046152562722E-4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8.7792023565043398E-4</v>
          </cell>
          <cell r="F117">
            <v>1.7173380176368274E-3</v>
          </cell>
          <cell r="G117">
            <v>5.6777434906293194E-4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6.3009878656403244E-5</v>
          </cell>
          <cell r="F118">
            <v>1.910287026322795E-3</v>
          </cell>
          <cell r="G118">
            <v>1.7965605331811092E-2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9.8515442664794703E-4</v>
          </cell>
          <cell r="F119">
            <v>5.6270704554707768E-4</v>
          </cell>
          <cell r="G119">
            <v>6.1595914969277056E-4</v>
          </cell>
        </row>
        <row r="123">
          <cell r="B123">
            <v>0</v>
          </cell>
          <cell r="C123">
            <v>2.2860446491914312</v>
          </cell>
          <cell r="D123">
            <v>2.3553152915383402</v>
          </cell>
          <cell r="E123">
            <v>2.4754603177036962</v>
          </cell>
          <cell r="F123">
            <v>2.7344497072877814</v>
          </cell>
          <cell r="G123">
            <v>3.0205320954083099</v>
          </cell>
        </row>
      </sheetData>
      <sheetData sheetId="34">
        <row r="13">
          <cell r="B13">
            <v>16.052403475680226</v>
          </cell>
          <cell r="C13">
            <v>20.04397901368942</v>
          </cell>
          <cell r="D13">
            <v>61.895434088925462</v>
          </cell>
          <cell r="E13">
            <v>54.408167549155124</v>
          </cell>
          <cell r="F13">
            <v>16.283889304133776</v>
          </cell>
          <cell r="G13">
            <v>16.477765948409125</v>
          </cell>
        </row>
        <row r="14">
          <cell r="B14">
            <v>250.94817863315785</v>
          </cell>
          <cell r="C14">
            <v>253.29947829311311</v>
          </cell>
          <cell r="D14">
            <v>215.81740613283444</v>
          </cell>
          <cell r="E14">
            <v>209.64530306304485</v>
          </cell>
          <cell r="F14">
            <v>98.945480203274769</v>
          </cell>
          <cell r="G14">
            <v>0</v>
          </cell>
        </row>
        <row r="15">
          <cell r="B15">
            <v>66.745680037910205</v>
          </cell>
          <cell r="C15">
            <v>49.798798199551555</v>
          </cell>
          <cell r="D15">
            <v>68.534871720406599</v>
          </cell>
          <cell r="E15">
            <v>70.207444882694688</v>
          </cell>
          <cell r="F15">
            <v>72.378790765899794</v>
          </cell>
          <cell r="G15">
            <v>74.335877429190887</v>
          </cell>
        </row>
        <row r="16">
          <cell r="B16">
            <v>66.632402450035997</v>
          </cell>
          <cell r="C16">
            <v>55.764000771154585</v>
          </cell>
          <cell r="D16">
            <v>65.550470630124664</v>
          </cell>
          <cell r="E16">
            <v>64.491829575698375</v>
          </cell>
          <cell r="F16">
            <v>62.323588762492044</v>
          </cell>
          <cell r="G16">
            <v>60.977329968934797</v>
          </cell>
        </row>
        <row r="18">
          <cell r="B18">
            <v>0.12273184528994588</v>
          </cell>
          <cell r="C18">
            <v>1.3007960155730846E-3</v>
          </cell>
          <cell r="D18">
            <v>9.8476835067266445E-3</v>
          </cell>
          <cell r="E18">
            <v>1.2864572440174291E-3</v>
          </cell>
          <cell r="F18">
            <v>6.0487980335871367E-3</v>
          </cell>
          <cell r="G18">
            <v>5.592752301332668E-5</v>
          </cell>
        </row>
        <row r="19">
          <cell r="B19">
            <v>18.203592234824285</v>
          </cell>
          <cell r="C19">
            <v>20.479202533502445</v>
          </cell>
          <cell r="D19">
            <v>20.734843908250912</v>
          </cell>
          <cell r="E19">
            <v>20.94907717232168</v>
          </cell>
          <cell r="F19">
            <v>21.441558971662296</v>
          </cell>
          <cell r="G19">
            <v>13.018158035100774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1.0602831058220621E-2</v>
          </cell>
          <cell r="G20">
            <v>13.017231903164763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3.5013397940599461E-2</v>
          </cell>
          <cell r="G21">
            <v>2.9540481151484822E-2</v>
          </cell>
        </row>
        <row r="22">
          <cell r="B22">
            <v>0</v>
          </cell>
          <cell r="C22">
            <v>2.7794541448106953E-3</v>
          </cell>
          <cell r="D22">
            <v>1.3847637281284936E-2</v>
          </cell>
          <cell r="E22">
            <v>2.1171967921259317E-3</v>
          </cell>
          <cell r="F22">
            <v>0.10397449020293469</v>
          </cell>
          <cell r="G22">
            <v>3.4201180507432649E-2</v>
          </cell>
          <cell r="L22">
            <v>2.5688309364487569</v>
          </cell>
          <cell r="M22">
            <v>0.8161578467999856</v>
          </cell>
          <cell r="N22">
            <v>1.7845400966206879</v>
          </cell>
          <cell r="O22">
            <v>1.9006878275001913</v>
          </cell>
          <cell r="P22">
            <v>1.9950371227174946</v>
          </cell>
          <cell r="Q22">
            <v>3.3793458941030292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4.0833393545983135E-3</v>
          </cell>
          <cell r="G23">
            <v>8.1051805137729378</v>
          </cell>
          <cell r="L23">
            <v>6.7922058250571474E-2</v>
          </cell>
          <cell r="M23">
            <v>2.6689558265102987E-2</v>
          </cell>
          <cell r="N23">
            <v>0.22003129660660992</v>
          </cell>
          <cell r="O23">
            <v>4.8816045692229076E-4</v>
          </cell>
          <cell r="P23">
            <v>0.36121192896344828</v>
          </cell>
          <cell r="Q23">
            <v>2.7326525719044281</v>
          </cell>
        </row>
        <row r="24">
          <cell r="B24">
            <v>3.6843982354388429</v>
          </cell>
          <cell r="C24">
            <v>4.7614163963731965E-3</v>
          </cell>
          <cell r="D24">
            <v>1.1358511853928494E-2</v>
          </cell>
          <cell r="E24">
            <v>4.8449281004194749E-3</v>
          </cell>
          <cell r="F24">
            <v>0.2823491779005548</v>
          </cell>
          <cell r="G24">
            <v>2.3107925125312981E-3</v>
          </cell>
        </row>
        <row r="25">
          <cell r="B25">
            <v>1.6102057972085939</v>
          </cell>
          <cell r="C25">
            <v>0.1747802916163014</v>
          </cell>
          <cell r="D25">
            <v>3.0740640354875837E-2</v>
          </cell>
          <cell r="E25">
            <v>0.13323670795276196</v>
          </cell>
          <cell r="F25">
            <v>6.5217105975870906</v>
          </cell>
          <cell r="G25">
            <v>8.0480377031113779</v>
          </cell>
        </row>
        <row r="26">
          <cell r="B26">
            <v>39.679243688359236</v>
          </cell>
          <cell r="C26">
            <v>37.448564555162328</v>
          </cell>
          <cell r="D26">
            <v>37.494347126486964</v>
          </cell>
          <cell r="E26">
            <v>39.783667693483594</v>
          </cell>
          <cell r="F26">
            <v>39.271405283107129</v>
          </cell>
          <cell r="G26">
            <v>27.653196378184944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1.2312148477929942E-2</v>
          </cell>
          <cell r="G27">
            <v>13.180591488855759</v>
          </cell>
        </row>
        <row r="28">
          <cell r="B28">
            <v>2.3807433461468085E-2</v>
          </cell>
          <cell r="C28">
            <v>1.8617393199789895E-3</v>
          </cell>
          <cell r="D28">
            <v>1.14664951704478E-2</v>
          </cell>
          <cell r="E28">
            <v>2.6299093449847375E-3</v>
          </cell>
          <cell r="F28">
            <v>6.6607089788470724E-3</v>
          </cell>
          <cell r="G28">
            <v>3.5805230564241934E-5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1.0434034584213008</v>
          </cell>
          <cell r="G29">
            <v>1.7852888604548312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2.8802696308548015E-3</v>
          </cell>
          <cell r="G30">
            <v>0.45477035098893875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3.7549676740629158E-3</v>
          </cell>
          <cell r="G31">
            <v>3.9867505122836873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0.54529225122661173</v>
          </cell>
          <cell r="D33">
            <v>0.50322602221778379</v>
          </cell>
          <cell r="E33">
            <v>1.088219349295845</v>
          </cell>
          <cell r="F33">
            <v>3.0600118362774396</v>
          </cell>
          <cell r="G33">
            <v>6.1200009293579667</v>
          </cell>
        </row>
        <row r="34">
          <cell r="B34">
            <v>0</v>
          </cell>
          <cell r="C34">
            <v>0</v>
          </cell>
          <cell r="D34">
            <v>0.14079953432808703</v>
          </cell>
          <cell r="E34">
            <v>4.8491659751166152</v>
          </cell>
          <cell r="F34">
            <v>4.8517211651252916</v>
          </cell>
          <cell r="G34">
            <v>4.6390501257709511</v>
          </cell>
        </row>
        <row r="35">
          <cell r="B35">
            <v>3.517953999707534</v>
          </cell>
          <cell r="C35">
            <v>4.8498359267292228</v>
          </cell>
          <cell r="D35">
            <v>9.5944986244111021</v>
          </cell>
          <cell r="E35">
            <v>17.736887719519139</v>
          </cell>
          <cell r="F35">
            <v>33.151371944662564</v>
          </cell>
          <cell r="G35">
            <v>51.000303784876223</v>
          </cell>
        </row>
        <row r="36">
          <cell r="B36">
            <v>2.1349390887346629</v>
          </cell>
          <cell r="C36">
            <v>3.3907132089156446</v>
          </cell>
          <cell r="D36">
            <v>8.0482196446336349</v>
          </cell>
          <cell r="E36">
            <v>14.087836436121661</v>
          </cell>
          <cell r="F36">
            <v>11.292613048179998</v>
          </cell>
          <cell r="G36">
            <v>1.3883910430851205</v>
          </cell>
        </row>
        <row r="37">
          <cell r="B37">
            <v>0.86248322578584768</v>
          </cell>
          <cell r="C37">
            <v>1.2876385226786284</v>
          </cell>
          <cell r="D37">
            <v>4.184099486117959</v>
          </cell>
          <cell r="E37">
            <v>9.1198275356946468</v>
          </cell>
          <cell r="F37">
            <v>10.073996992066899</v>
          </cell>
          <cell r="G37">
            <v>11.127978604662303</v>
          </cell>
        </row>
        <row r="38">
          <cell r="B38">
            <v>2.8396236857719668</v>
          </cell>
          <cell r="C38">
            <v>3.294455214415414</v>
          </cell>
          <cell r="D38">
            <v>6.8323881202784733</v>
          </cell>
          <cell r="E38">
            <v>17.902342735883629</v>
          </cell>
          <cell r="F38">
            <v>19.775331397756425</v>
          </cell>
          <cell r="G38">
            <v>21.844271382989032</v>
          </cell>
        </row>
        <row r="39">
          <cell r="B39">
            <v>1.9230865199330422</v>
          </cell>
          <cell r="C39">
            <v>0.28755239708458213</v>
          </cell>
          <cell r="D39">
            <v>0.14195854144565348</v>
          </cell>
          <cell r="E39">
            <v>6.6854870683687548E-2</v>
          </cell>
          <cell r="F39">
            <v>1.8968579908742046E-2</v>
          </cell>
          <cell r="G39">
            <v>5.639774747516537E-2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2.7060595183417708E-3</v>
          </cell>
          <cell r="G40">
            <v>2.2096480586801123E-2</v>
          </cell>
        </row>
        <row r="41">
          <cell r="B41">
            <v>0.29740917854790827</v>
          </cell>
          <cell r="C41">
            <v>0.69451625271672734</v>
          </cell>
          <cell r="D41">
            <v>1.4613779763762248E-2</v>
          </cell>
          <cell r="E41">
            <v>0.64963732552011699</v>
          </cell>
          <cell r="F41">
            <v>9.186120302764356E-3</v>
          </cell>
          <cell r="G41">
            <v>3.1073424196410848E-2</v>
          </cell>
        </row>
        <row r="42">
          <cell r="B42">
            <v>0.87354378140829003</v>
          </cell>
          <cell r="C42">
            <v>2.3100462794285841</v>
          </cell>
          <cell r="D42">
            <v>4.8509388326815097</v>
          </cell>
          <cell r="E42">
            <v>4.4244585721345739</v>
          </cell>
          <cell r="F42">
            <v>5.4259446650715191</v>
          </cell>
          <cell r="G42">
            <v>1.0744008842988302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1.8926332534308299</v>
          </cell>
          <cell r="G43">
            <v>8.6676442406111143</v>
          </cell>
        </row>
        <row r="44">
          <cell r="B44">
            <v>3.7119628304010757</v>
          </cell>
          <cell r="C44">
            <v>3.6555838255765019</v>
          </cell>
          <cell r="D44">
            <v>5.4331546114682485</v>
          </cell>
          <cell r="E44">
            <v>5.5461671226032898</v>
          </cell>
          <cell r="F44">
            <v>4.2076271382462442</v>
          </cell>
          <cell r="G44">
            <v>1.9329113061030921E-3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1.0776131897719263</v>
          </cell>
          <cell r="G45">
            <v>10.627401238474469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3.8843460705320534</v>
          </cell>
          <cell r="F46">
            <v>0.17139913265571741</v>
          </cell>
          <cell r="G46">
            <v>6.5916681958635488</v>
          </cell>
        </row>
        <row r="47">
          <cell r="B47">
            <v>0</v>
          </cell>
        </row>
        <row r="48">
          <cell r="B48">
            <v>7.2745164972703974E-2</v>
          </cell>
          <cell r="C48">
            <v>3.112221729310731E-2</v>
          </cell>
          <cell r="D48">
            <v>2.3261007092367104E-2</v>
          </cell>
          <cell r="E48">
            <v>8.4079776254162037E-3</v>
          </cell>
          <cell r="F48">
            <v>2.2878606691895537E-2</v>
          </cell>
          <cell r="G48">
            <v>1.0827903433452631E-2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6.6032202883838272E-4</v>
          </cell>
          <cell r="F49">
            <v>2.286704517836852E-3</v>
          </cell>
          <cell r="G49">
            <v>1.8947641603263114E-3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7.7252694453681485E-3</v>
          </cell>
          <cell r="F50">
            <v>8.2373647620654182E-3</v>
          </cell>
          <cell r="G50">
            <v>3.6640166142087975E-3</v>
          </cell>
        </row>
        <row r="51">
          <cell r="B51">
            <v>0.11517897092326203</v>
          </cell>
          <cell r="C51">
            <v>9.2749884904703914E-3</v>
          </cell>
          <cell r="D51">
            <v>2.677829316268783E-2</v>
          </cell>
          <cell r="E51">
            <v>7.4863047620897707E-3</v>
          </cell>
          <cell r="F51">
            <v>4.9103551351010157</v>
          </cell>
          <cell r="G51">
            <v>2.9596967644658667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1.4769002711855885E-3</v>
          </cell>
          <cell r="F52">
            <v>0.10930730120824866</v>
          </cell>
          <cell r="G52">
            <v>0.40410879505228287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2.2285292282901957E-2</v>
          </cell>
          <cell r="F53">
            <v>1.4634671639009871E-2</v>
          </cell>
          <cell r="G53">
            <v>6.8221513688037153E-3</v>
          </cell>
        </row>
        <row r="54">
          <cell r="B54">
            <v>2.6453969423540649</v>
          </cell>
          <cell r="C54">
            <v>3.0465646355384406</v>
          </cell>
          <cell r="D54">
            <v>3.0436366034191216</v>
          </cell>
          <cell r="E54">
            <v>3.032271519686415</v>
          </cell>
          <cell r="F54">
            <v>2.9504522513756744</v>
          </cell>
          <cell r="G54">
            <v>2.8719166368287428</v>
          </cell>
        </row>
        <row r="55">
          <cell r="B55">
            <v>1.6688239813074031</v>
          </cell>
          <cell r="C55">
            <v>1.7388915174468287</v>
          </cell>
          <cell r="D55">
            <v>1.0123601480051422E-2</v>
          </cell>
          <cell r="E55">
            <v>1.7197450108683396E-3</v>
          </cell>
          <cell r="F55">
            <v>2.2898216452712509E-2</v>
          </cell>
          <cell r="G55">
            <v>1.2347262271550285E-3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1.9616354997868358E-3</v>
          </cell>
          <cell r="F56">
            <v>4.2936029119928099E-3</v>
          </cell>
          <cell r="G56">
            <v>1.253378629230845E-3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2.7556767178963586E-3</v>
          </cell>
          <cell r="F57">
            <v>1.6562098155750522E-3</v>
          </cell>
          <cell r="G57">
            <v>1.8952806738771271E-3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3.5142558469462989E-4</v>
          </cell>
          <cell r="F58">
            <v>1.0615010766435369E-2</v>
          </cell>
          <cell r="G58">
            <v>9.9811538017980039E-2</v>
          </cell>
        </row>
        <row r="63">
          <cell r="B63">
            <v>0.13509043615262117</v>
          </cell>
          <cell r="C63">
            <v>1.148431158126932E-2</v>
          </cell>
          <cell r="D63">
            <v>0.13501078197836205</v>
          </cell>
          <cell r="E63">
            <v>0.13500458477342225</v>
          </cell>
          <cell r="F63">
            <v>3.1531910357906257E-2</v>
          </cell>
          <cell r="G63">
            <v>2.291287736018683E-2</v>
          </cell>
        </row>
        <row r="64">
          <cell r="B64">
            <v>5.7609423260281643E-3</v>
          </cell>
          <cell r="C64">
            <v>4.7632367440234189E-3</v>
          </cell>
          <cell r="D64">
            <v>5.927038508203265E-3</v>
          </cell>
          <cell r="E64">
            <v>7.7842643851357262E-3</v>
          </cell>
          <cell r="F64">
            <v>0.23504873043383431</v>
          </cell>
          <cell r="G64">
            <v>0.26321559319547516</v>
          </cell>
        </row>
        <row r="65">
          <cell r="B65">
            <v>5.0616770872749326E-3</v>
          </cell>
          <cell r="C65">
            <v>4.1018981688576628E-3</v>
          </cell>
          <cell r="D65">
            <v>5.210323705510468E-3</v>
          </cell>
          <cell r="E65">
            <v>6.5424060716390347E-3</v>
          </cell>
          <cell r="F65">
            <v>2.4489715576449876E-2</v>
          </cell>
          <cell r="G65">
            <v>2.8049456567697847E-2</v>
          </cell>
        </row>
        <row r="66">
          <cell r="B66">
            <v>1.5840195556036548E-3</v>
          </cell>
          <cell r="C66">
            <v>1.5766233402732671E-3</v>
          </cell>
          <cell r="D66">
            <v>1.6007688691362725E-3</v>
          </cell>
          <cell r="E66">
            <v>4.9152378173836584E-3</v>
          </cell>
          <cell r="F66">
            <v>8.2685879572824989E-3</v>
          </cell>
          <cell r="G66">
            <v>4.5808136774334891E-3</v>
          </cell>
        </row>
        <row r="67">
          <cell r="B67">
            <v>3.6860008835897392E-3</v>
          </cell>
          <cell r="C67">
            <v>3.669800208546483E-3</v>
          </cell>
          <cell r="D67">
            <v>3.7109671310474593E-3</v>
          </cell>
          <cell r="E67">
            <v>0.23681911499520317</v>
          </cell>
          <cell r="F67">
            <v>0.24140786996974942</v>
          </cell>
          <cell r="G67">
            <v>0.1159713365484305</v>
          </cell>
        </row>
        <row r="68">
          <cell r="B68">
            <v>3.6889229344549161E-3</v>
          </cell>
          <cell r="C68">
            <v>3.6726901279429507E-3</v>
          </cell>
          <cell r="D68">
            <v>3.714112605795183E-3</v>
          </cell>
          <cell r="E68">
            <v>0.24680722646240888</v>
          </cell>
          <cell r="F68">
            <v>0.24385656092938074</v>
          </cell>
          <cell r="G68">
            <v>0.11598284289180333</v>
          </cell>
        </row>
        <row r="69">
          <cell r="B69">
            <v>1.590508126064062E-3</v>
          </cell>
          <cell r="C69">
            <v>1.5831500143631187E-3</v>
          </cell>
          <cell r="D69">
            <v>1.6071841385657275E-3</v>
          </cell>
          <cell r="E69">
            <v>4.9044641041459201E-3</v>
          </cell>
          <cell r="F69">
            <v>7.3115877452306424E-3</v>
          </cell>
          <cell r="G69">
            <v>4.1457062716519959E-3</v>
          </cell>
        </row>
        <row r="90">
          <cell r="B90">
            <v>2.0280779083423366</v>
          </cell>
          <cell r="C90">
            <v>0.95979385536198147</v>
          </cell>
          <cell r="D90">
            <v>6.9932120680800436</v>
          </cell>
          <cell r="E90">
            <v>6.9609176383168023</v>
          </cell>
          <cell r="F90">
            <v>1.9327752157543774</v>
          </cell>
          <cell r="G90">
            <v>1.4964513213086569E-4</v>
          </cell>
        </row>
        <row r="91">
          <cell r="B91">
            <v>1.1839528190004767</v>
          </cell>
          <cell r="C91">
            <v>0.39669748329678217</v>
          </cell>
          <cell r="D91">
            <v>2.6576197814669796E-3</v>
          </cell>
          <cell r="E91">
            <v>3.024479041777262</v>
          </cell>
          <cell r="F91">
            <v>3.3902341944753243</v>
          </cell>
          <cell r="G91">
            <v>4.2851089736422765E-2</v>
          </cell>
        </row>
        <row r="92">
          <cell r="B92">
            <v>1.4500056911925576</v>
          </cell>
          <cell r="C92">
            <v>3.8016676618055705</v>
          </cell>
          <cell r="D92">
            <v>3.8003323235392847</v>
          </cell>
          <cell r="E92">
            <v>1.0357994872748932</v>
          </cell>
          <cell r="F92">
            <v>0</v>
          </cell>
          <cell r="G92">
            <v>0</v>
          </cell>
        </row>
        <row r="93">
          <cell r="B93">
            <v>0.21542555863601137</v>
          </cell>
          <cell r="C93">
            <v>4.1532988768480452</v>
          </cell>
          <cell r="D93">
            <v>2.4407522965324783E-3</v>
          </cell>
          <cell r="E93">
            <v>7.3873368576598299E-3</v>
          </cell>
          <cell r="F93">
            <v>4.5811214640236652E-4</v>
          </cell>
          <cell r="G93">
            <v>0</v>
          </cell>
        </row>
        <row r="94">
          <cell r="B94">
            <v>2.3396081959217958</v>
          </cell>
          <cell r="C94">
            <v>2.1114974696711823</v>
          </cell>
          <cell r="D94">
            <v>1.8103498931710582</v>
          </cell>
          <cell r="E94">
            <v>7.3302954725888156</v>
          </cell>
          <cell r="F94">
            <v>4.3889699833857083</v>
          </cell>
          <cell r="G94">
            <v>2.627839445403465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3.701272732309313E-4</v>
          </cell>
          <cell r="F95">
            <v>3.6993767420699544E-4</v>
          </cell>
          <cell r="G95">
            <v>3.7027152265877193E-4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1.2530926930719329E-3</v>
          </cell>
          <cell r="G96">
            <v>1.3710859170397679E-3</v>
          </cell>
        </row>
        <row r="97">
          <cell r="B97">
            <v>0</v>
          </cell>
          <cell r="C97">
            <v>0.78829125834187341</v>
          </cell>
          <cell r="D97">
            <v>0.81217768673735924</v>
          </cell>
          <cell r="E97">
            <v>0.85360700610472195</v>
          </cell>
          <cell r="F97">
            <v>0.94291369216820087</v>
          </cell>
          <cell r="G97">
            <v>1.0415627915201064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7.4159825842324105</v>
          </cell>
          <cell r="D15">
            <v>7.4159830621316889</v>
          </cell>
          <cell r="E15">
            <v>7.4159846598849972</v>
          </cell>
          <cell r="F15">
            <v>7.4402334302220581</v>
          </cell>
          <cell r="G15">
            <v>7.6379274346559445</v>
          </cell>
        </row>
        <row r="16">
          <cell r="B16">
            <v>4.7247299999999992</v>
          </cell>
          <cell r="C16">
            <v>4.8101489121740713</v>
          </cell>
          <cell r="D16">
            <v>4.8612422841759129</v>
          </cell>
          <cell r="E16">
            <v>4.8666190628085335</v>
          </cell>
          <cell r="F16">
            <v>4.8666303376803803</v>
          </cell>
          <cell r="G16">
            <v>4.9153656919948396</v>
          </cell>
        </row>
        <row r="17">
          <cell r="B17">
            <v>3.3394499999999998</v>
          </cell>
          <cell r="C17">
            <v>3.9713316431626704</v>
          </cell>
          <cell r="D17">
            <v>4.3597527166940377</v>
          </cell>
          <cell r="E17">
            <v>4.3597527413793671</v>
          </cell>
          <cell r="F17">
            <v>4.3597528417258928</v>
          </cell>
          <cell r="G17">
            <v>4.3597529205485435</v>
          </cell>
        </row>
        <row r="18">
          <cell r="B18">
            <v>1.3874213121936999E-2</v>
          </cell>
          <cell r="C18">
            <v>1.9482535609231244E-3</v>
          </cell>
          <cell r="D18">
            <v>1.9260487690769268E-3</v>
          </cell>
          <cell r="E18">
            <v>1.9227615215302481E-3</v>
          </cell>
          <cell r="F18">
            <v>2.3790760327730221E-3</v>
          </cell>
          <cell r="G18">
            <v>4.9559627278734843E-4</v>
          </cell>
        </row>
        <row r="19">
          <cell r="B19">
            <v>0.27314367264409611</v>
          </cell>
          <cell r="C19">
            <v>0.27313977799607519</v>
          </cell>
          <cell r="D19">
            <v>0.27650256893446723</v>
          </cell>
          <cell r="E19">
            <v>0.27935960996871589</v>
          </cell>
          <cell r="F19">
            <v>0.30292051521480207</v>
          </cell>
          <cell r="G19">
            <v>0.19163442595018321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2.1947951537641501E-4</v>
          </cell>
          <cell r="G20">
            <v>0.16579075736138799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1.74019683607947E-3</v>
          </cell>
          <cell r="G21">
            <v>1.7681895233889722E-3</v>
          </cell>
        </row>
        <row r="22">
          <cell r="B22">
            <v>0</v>
          </cell>
          <cell r="C22">
            <v>0.25000026415614302</v>
          </cell>
          <cell r="D22">
            <v>0.11060189815445901</v>
          </cell>
          <cell r="E22">
            <v>0.11059760332440599</v>
          </cell>
          <cell r="F22">
            <v>0.11060925191533</v>
          </cell>
          <cell r="G22">
            <v>3.5726788233336602E-2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3.0804233373459699E-4</v>
          </cell>
          <cell r="G23">
            <v>0.19625414980248526</v>
          </cell>
        </row>
        <row r="24">
          <cell r="B24">
            <v>4.7946760500070094E-2</v>
          </cell>
          <cell r="C24">
            <v>3.4439462943097743E-4</v>
          </cell>
          <cell r="D24">
            <v>3.9512934978215564E-4</v>
          </cell>
          <cell r="E24">
            <v>3.6951635566855739E-4</v>
          </cell>
          <cell r="F24">
            <v>9.9276291558587169E-3</v>
          </cell>
          <cell r="G24">
            <v>1.7911114296436954E-4</v>
          </cell>
        </row>
        <row r="25">
          <cell r="B25">
            <v>1.4715606660582699E-2</v>
          </cell>
          <cell r="C25">
            <v>1.8614014920212141E-3</v>
          </cell>
          <cell r="D25">
            <v>1.3631211483497094E-3</v>
          </cell>
          <cell r="E25">
            <v>1.3759979895450782E-3</v>
          </cell>
          <cell r="F25">
            <v>7.9198125220301785E-2</v>
          </cell>
          <cell r="G25">
            <v>0.10210916953950809</v>
          </cell>
        </row>
        <row r="26">
          <cell r="B26">
            <v>7.6766427473454538E-2</v>
          </cell>
          <cell r="C26">
            <v>7.2062184607514873E-2</v>
          </cell>
          <cell r="D26">
            <v>7.2061215995848263E-2</v>
          </cell>
          <cell r="E26">
            <v>7.1350031134689421E-2</v>
          </cell>
          <cell r="F26">
            <v>7.0046345494558307E-2</v>
          </cell>
          <cell r="G26">
            <v>4.1802256710816686E-2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6.6487824539326995E-5</v>
          </cell>
          <cell r="G27">
            <v>4.2980303651004713E-2</v>
          </cell>
        </row>
        <row r="28">
          <cell r="B28">
            <v>2.4522776369963108E-3</v>
          </cell>
          <cell r="C28">
            <v>8.5109432385128449E-4</v>
          </cell>
          <cell r="D28">
            <v>7.6738043649116766E-4</v>
          </cell>
          <cell r="E28">
            <v>5.5833402214932205E-4</v>
          </cell>
          <cell r="F28">
            <v>2.2190822942678583E-4</v>
          </cell>
          <cell r="G28">
            <v>1.0397755666687844E-4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1.5763984536623501E-2</v>
          </cell>
          <cell r="G29">
            <v>4.9201696830089237E-2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2.0452342759069101E-4</v>
          </cell>
          <cell r="G30">
            <v>1.3562209522952158E-2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8.4137599637217793E-5</v>
          </cell>
          <cell r="G31">
            <v>4.3686697031884665E-2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1.05678383071329E-7</v>
          </cell>
          <cell r="G32">
            <v>1.2870213936154581E-7</v>
          </cell>
        </row>
        <row r="33">
          <cell r="B33">
            <v>8.7120000000000003E-2</v>
          </cell>
          <cell r="C33">
            <v>9.0660039936760403E-2</v>
          </cell>
          <cell r="D33">
            <v>8.3666124907950584E-2</v>
          </cell>
          <cell r="E33">
            <v>0.1809268523840783</v>
          </cell>
          <cell r="F33">
            <v>0.50875649399559264</v>
          </cell>
          <cell r="G33">
            <v>1.01750881979439</v>
          </cell>
        </row>
        <row r="34">
          <cell r="B34">
            <v>0</v>
          </cell>
          <cell r="C34">
            <v>0</v>
          </cell>
          <cell r="D34">
            <v>4.49234946921786E-2</v>
          </cell>
          <cell r="E34">
            <v>1.3978729866757316</v>
          </cell>
          <cell r="F34">
            <v>1.3986103279628292</v>
          </cell>
          <cell r="G34">
            <v>1.3373083277805895</v>
          </cell>
        </row>
        <row r="35">
          <cell r="B35">
            <v>1.1186210000000001</v>
          </cell>
          <cell r="C35">
            <v>1.6529270830895668</v>
          </cell>
          <cell r="D35">
            <v>3.0611843298404802</v>
          </cell>
          <cell r="E35">
            <v>5.1146859061774101</v>
          </cell>
          <cell r="F35">
            <v>9.5596733590924874</v>
          </cell>
          <cell r="G35">
            <v>14.7066684691757</v>
          </cell>
        </row>
        <row r="36">
          <cell r="B36">
            <v>0.67885700000000004</v>
          </cell>
          <cell r="C36">
            <v>1.1559163066676241</v>
          </cell>
          <cell r="D36">
            <v>2.5678648334549488</v>
          </cell>
          <cell r="E36">
            <v>4.0611127163292116</v>
          </cell>
          <cell r="F36">
            <v>3.2553315767201831</v>
          </cell>
          <cell r="G36">
            <v>0.40023335150746636</v>
          </cell>
        </row>
        <row r="37">
          <cell r="B37">
            <v>0.27424799999999999</v>
          </cell>
          <cell r="C37">
            <v>0.43896439704346285</v>
          </cell>
          <cell r="D37">
            <v>1.334978948822773</v>
          </cell>
          <cell r="E37">
            <v>2.6289808155248098</v>
          </cell>
          <cell r="F37">
            <v>2.9040403099909522</v>
          </cell>
          <cell r="G37">
            <v>3.2078724262838501</v>
          </cell>
        </row>
        <row r="38">
          <cell r="B38">
            <v>0.90292899999999998</v>
          </cell>
          <cell r="C38">
            <v>1.1231013218031358</v>
          </cell>
          <cell r="D38">
            <v>2.1799416244343703</v>
          </cell>
          <cell r="E38">
            <v>5.1607235409973899</v>
          </cell>
          <cell r="F38">
            <v>5.7006516578415489</v>
          </cell>
          <cell r="G38">
            <v>6.2970667395723101</v>
          </cell>
        </row>
        <row r="39">
          <cell r="B39">
            <v>2.5117966952896302E-2</v>
          </cell>
          <cell r="C39">
            <v>1.8577281190275095E-2</v>
          </cell>
          <cell r="D39">
            <v>1.1826404423044654E-2</v>
          </cell>
          <cell r="E39">
            <v>5.6153052485151279E-3</v>
          </cell>
          <cell r="F39">
            <v>1.3452822619367099E-3</v>
          </cell>
          <cell r="G39">
            <v>1.1956578713008129E-3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1.8080357261686299E-4</v>
          </cell>
          <cell r="G40">
            <v>4.0209865971632387E-4</v>
          </cell>
        </row>
        <row r="41">
          <cell r="B41">
            <v>8.3050622249010893E-3</v>
          </cell>
          <cell r="C41">
            <v>7.2780816691352963E-3</v>
          </cell>
          <cell r="D41">
            <v>8.4860404352390829E-3</v>
          </cell>
          <cell r="E41">
            <v>1.9263608009516462E-2</v>
          </cell>
          <cell r="F41">
            <v>5.5874847026168495E-3</v>
          </cell>
          <cell r="G41">
            <v>1.5452200812828992E-3</v>
          </cell>
        </row>
        <row r="42">
          <cell r="B42">
            <v>6.5475274181891908E-3</v>
          </cell>
          <cell r="C42">
            <v>1.92860432952487E-2</v>
          </cell>
          <cell r="D42">
            <v>4.1900622419507476E-2</v>
          </cell>
          <cell r="E42">
            <v>7.9898235382418137E-2</v>
          </cell>
          <cell r="F42">
            <v>9.1449654973071309E-2</v>
          </cell>
          <cell r="G42">
            <v>2.9531321171605757E-2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4.6920687888740702E-2</v>
          </cell>
          <cell r="G43">
            <v>0.13453721463048901</v>
          </cell>
        </row>
        <row r="44">
          <cell r="B44">
            <v>4.9217663576402532E-2</v>
          </cell>
          <cell r="C44">
            <v>1.4069509710307078E-2</v>
          </cell>
          <cell r="D44">
            <v>1.4068739057225915E-2</v>
          </cell>
          <cell r="E44">
            <v>1.3984124536231247E-2</v>
          </cell>
          <cell r="F44">
            <v>1.2592427340860576E-2</v>
          </cell>
          <cell r="G44">
            <v>3.2988824933190969E-4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6.7207958207808E-3</v>
          </cell>
          <cell r="G45">
            <v>5.9488831361328764E-2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7.4288636520242105E-2</v>
          </cell>
          <cell r="F46">
            <v>2.24194195234809E-2</v>
          </cell>
          <cell r="G46">
            <v>0.21573300918889007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9.8693684893964999E-5</v>
          </cell>
          <cell r="F47">
            <v>2.1922099564119273E-4</v>
          </cell>
          <cell r="G47">
            <v>0.19271050322366803</v>
          </cell>
        </row>
        <row r="48">
          <cell r="B48">
            <v>4.1737138083724366E-3</v>
          </cell>
          <cell r="C48">
            <v>1.8640050675076813E-3</v>
          </cell>
          <cell r="D48">
            <v>1.0171159095463493E-3</v>
          </cell>
          <cell r="E48">
            <v>5.0253258845095504E-4</v>
          </cell>
          <cell r="F48">
            <v>5.0996798550201154E-4</v>
          </cell>
          <cell r="G48">
            <v>2.719202396366812E-4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2.50338335379556E-5</v>
          </cell>
          <cell r="F49">
            <v>8.842677858821431E-5</v>
          </cell>
          <cell r="G49">
            <v>7.5748715570643762E-5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1.5582363815936829E-4</v>
          </cell>
          <cell r="F50">
            <v>1.4573180299969345E-4</v>
          </cell>
          <cell r="G50">
            <v>7.9084682025342822E-5</v>
          </cell>
        </row>
        <row r="51">
          <cell r="B51">
            <v>8.4244751240739012E-3</v>
          </cell>
          <cell r="C51">
            <v>5.241094364849462E-4</v>
          </cell>
          <cell r="D51">
            <v>6.1895072212855688E-4</v>
          </cell>
          <cell r="E51">
            <v>6.2104503074456193E-4</v>
          </cell>
          <cell r="F51">
            <v>0.11061772857294633</v>
          </cell>
          <cell r="G51">
            <v>6.7985890889316003E-2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7.6729446582461891E-5</v>
          </cell>
          <cell r="F52">
            <v>4.2750384595473126E-3</v>
          </cell>
          <cell r="G52">
            <v>1.6165093789209273E-2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4.25455766810196E-4</v>
          </cell>
          <cell r="F53">
            <v>2.9700171693154904E-4</v>
          </cell>
          <cell r="G53">
            <v>1.4118426224442988E-4</v>
          </cell>
        </row>
        <row r="54">
          <cell r="B54">
            <v>7.3512689615701898E-2</v>
          </cell>
          <cell r="C54">
            <v>8.4746869931111635E-2</v>
          </cell>
          <cell r="D54">
            <v>8.4746542624634852E-2</v>
          </cell>
          <cell r="E54">
            <v>8.4748062415430106E-2</v>
          </cell>
          <cell r="F54">
            <v>8.4760575417151596E-2</v>
          </cell>
          <cell r="G54">
            <v>8.4760548863335616E-2</v>
          </cell>
        </row>
        <row r="55">
          <cell r="B55">
            <v>6.5199760532029513E-2</v>
          </cell>
          <cell r="C55">
            <v>4.7876910186013907E-2</v>
          </cell>
          <cell r="D55">
            <v>3.6852771193539996E-4</v>
          </cell>
          <cell r="E55">
            <v>8.9082252831704234E-5</v>
          </cell>
          <cell r="F55">
            <v>4.5912213261839994E-4</v>
          </cell>
          <cell r="G55">
            <v>6.0112639931831019E-5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7.5007811201445205E-5</v>
          </cell>
          <cell r="F56">
            <v>1.2424318088179016E-4</v>
          </cell>
          <cell r="G56">
            <v>5.0917160808978289E-5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8.1979598895105406E-5</v>
          </cell>
          <cell r="F57">
            <v>9.4001470176041408E-5</v>
          </cell>
          <cell r="G57">
            <v>1.0080437006895015E-4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3.3983661842030599E-5</v>
          </cell>
          <cell r="F58">
            <v>3.8008451954531008E-4</v>
          </cell>
          <cell r="G58">
            <v>3.6319070474300757E-3</v>
          </cell>
        </row>
        <row r="63">
          <cell r="B63">
            <v>0.1</v>
          </cell>
          <cell r="C63">
            <v>9.9998182556312154E-2</v>
          </cell>
          <cell r="D63">
            <v>9.9998265496152469E-2</v>
          </cell>
          <cell r="E63">
            <v>9.9998379502887202E-2</v>
          </cell>
          <cell r="F63">
            <v>9.9999365721577221E-2</v>
          </cell>
          <cell r="G63">
            <v>9.9999376872031129E-2</v>
          </cell>
        </row>
        <row r="64">
          <cell r="B64">
            <v>8.5647415753474499E-4</v>
          </cell>
          <cell r="C64">
            <v>8.5728938323073958E-4</v>
          </cell>
          <cell r="D64">
            <v>8.8186133840587695E-4</v>
          </cell>
          <cell r="E64">
            <v>1.1533516063302537E-3</v>
          </cell>
          <cell r="F64">
            <v>0.21884683963412027</v>
          </cell>
          <cell r="G64">
            <v>0.86840826602929755</v>
          </cell>
        </row>
        <row r="65">
          <cell r="B65">
            <v>6.3073407841438803E-4</v>
          </cell>
          <cell r="C65">
            <v>6.3136002728325354E-4</v>
          </cell>
          <cell r="D65">
            <v>6.4778494713504356E-4</v>
          </cell>
          <cell r="E65">
            <v>8.0728062538469255E-4</v>
          </cell>
          <cell r="F65">
            <v>4.4527257154410096E-3</v>
          </cell>
          <cell r="G65">
            <v>2.4958914467553963E-2</v>
          </cell>
        </row>
        <row r="66">
          <cell r="B66">
            <v>5.8639578607714302E-4</v>
          </cell>
          <cell r="C66">
            <v>5.8695527216163471E-4</v>
          </cell>
          <cell r="D66">
            <v>5.9398187302089856E-4</v>
          </cell>
          <cell r="E66">
            <v>1.8197832177448549E-3</v>
          </cell>
          <cell r="F66">
            <v>3.0618464394386101E-3</v>
          </cell>
          <cell r="G66">
            <v>1.6978721390210896E-3</v>
          </cell>
        </row>
        <row r="67">
          <cell r="B67">
            <v>1.3657537180925979E-3</v>
          </cell>
          <cell r="C67">
            <v>1.3670065688835863E-3</v>
          </cell>
          <cell r="D67">
            <v>1.3770075195310143E-3</v>
          </cell>
          <cell r="E67">
            <v>8.7712195812598565E-2</v>
          </cell>
          <cell r="F67">
            <v>0.11772784245030939</v>
          </cell>
          <cell r="G67">
            <v>0.14401903599737612</v>
          </cell>
        </row>
        <row r="68">
          <cell r="B68">
            <v>1.3668584929351843E-3</v>
          </cell>
          <cell r="C68">
            <v>1.3681203031739627E-3</v>
          </cell>
          <cell r="D68">
            <v>1.3783685777028921E-3</v>
          </cell>
          <cell r="E68">
            <v>9.1411213889731863E-2</v>
          </cell>
          <cell r="F68">
            <v>0.11889330367142431</v>
          </cell>
          <cell r="G68">
            <v>0.14399241007696839</v>
          </cell>
        </row>
        <row r="69">
          <cell r="B69">
            <v>5.8876753939006248E-4</v>
          </cell>
          <cell r="C69">
            <v>5.8932500170889293E-4</v>
          </cell>
          <cell r="D69">
            <v>5.9647203166046593E-4</v>
          </cell>
          <cell r="E69">
            <v>1.815764017796093E-3</v>
          </cell>
          <cell r="F69">
            <v>2.707221502393884E-3</v>
          </cell>
          <cell r="G69">
            <v>1.5362960574706094E-3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1.4053024232042349E-3</v>
          </cell>
        </row>
      </sheetData>
      <sheetData sheetId="43">
        <row r="5">
          <cell r="B5">
            <v>0.39014874990206017</v>
          </cell>
          <cell r="C5">
            <v>0.27810639114744401</v>
          </cell>
          <cell r="D5">
            <v>4.7595501070132944E-4</v>
          </cell>
          <cell r="E5">
            <v>3.2278511193319288E-4</v>
          </cell>
          <cell r="F5">
            <v>3.697956095586166E-4</v>
          </cell>
          <cell r="G5">
            <v>4.7036086951125387E-4</v>
          </cell>
        </row>
        <row r="12">
          <cell r="B12">
            <v>0.19956315994551696</v>
          </cell>
          <cell r="C12">
            <v>3.0365922735182331E-4</v>
          </cell>
          <cell r="D12">
            <v>1.200526326826717</v>
          </cell>
          <cell r="E12">
            <v>1.6491348590723254</v>
          </cell>
          <cell r="F12">
            <v>1.8203020902491908E-4</v>
          </cell>
          <cell r="G12">
            <v>4.5734669419348519E-5</v>
          </cell>
        </row>
        <row r="19">
          <cell r="B19">
            <v>1.328003717919694</v>
          </cell>
          <cell r="C19">
            <v>3.3955159239728125</v>
          </cell>
          <cell r="D19">
            <v>3.5827785218468331</v>
          </cell>
          <cell r="E19">
            <v>5.981363976250222</v>
          </cell>
          <cell r="F19">
            <v>7.5460940022348773</v>
          </cell>
          <cell r="G19">
            <v>9.4405585978203703</v>
          </cell>
        </row>
        <row r="20">
          <cell r="B20">
            <v>5.6294117616175656</v>
          </cell>
          <cell r="C20">
            <v>5.6032778032919843</v>
          </cell>
          <cell r="D20">
            <v>5.427977852213643</v>
          </cell>
          <cell r="E20">
            <v>6.9211483956543942</v>
          </cell>
          <cell r="F20">
            <v>6.9202109243687451</v>
          </cell>
          <cell r="G20">
            <v>9.844865979581181</v>
          </cell>
        </row>
        <row r="21">
          <cell r="B21">
            <v>0</v>
          </cell>
          <cell r="C21">
            <v>2.9285992324073914E-4</v>
          </cell>
          <cell r="D21">
            <v>2.9018947039501341E-4</v>
          </cell>
          <cell r="E21">
            <v>3.3850034700743466E-4</v>
          </cell>
          <cell r="F21">
            <v>7.3323212876511825E-4</v>
          </cell>
          <cell r="G21">
            <v>7.3353914304586135E-4</v>
          </cell>
        </row>
        <row r="28">
          <cell r="B28">
            <v>5.1153768807553788E-3</v>
          </cell>
          <cell r="C28">
            <v>1.8045039327849829E-2</v>
          </cell>
          <cell r="D28">
            <v>8.4710423703633325E-2</v>
          </cell>
          <cell r="E28">
            <v>17.771778636680075</v>
          </cell>
          <cell r="F28">
            <v>17.771797622103179</v>
          </cell>
          <cell r="G28">
            <v>17.771783100141743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3.6287233495825512E-4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6.402087889567159E-4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1.764762503899675E-4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5.9040625854018476</v>
          </cell>
        </row>
        <row r="38">
          <cell r="B38">
            <v>1.2890715756969104</v>
          </cell>
          <cell r="C38">
            <v>3.7251311248316039</v>
          </cell>
          <cell r="D38">
            <v>3.5199513119439874</v>
          </cell>
          <cell r="E38">
            <v>3.5626602954344686</v>
          </cell>
          <cell r="F38">
            <v>3.0885505241124251</v>
          </cell>
          <cell r="G38">
            <v>10.811927630188482</v>
          </cell>
        </row>
        <row r="39">
          <cell r="B39">
            <v>1.1764718808981853</v>
          </cell>
          <cell r="C39">
            <v>3.399742965128751</v>
          </cell>
          <cell r="D39">
            <v>3.2124854963107503</v>
          </cell>
          <cell r="E39">
            <v>3.2514638735285852</v>
          </cell>
          <cell r="F39">
            <v>2.8187673305783587</v>
          </cell>
          <cell r="G39">
            <v>9.8675116844044428</v>
          </cell>
        </row>
      </sheetData>
      <sheetData sheetId="44">
        <row r="3">
          <cell r="B3">
            <v>48.063397652170998</v>
          </cell>
          <cell r="C3">
            <v>50.546794536809074</v>
          </cell>
          <cell r="D3">
            <v>52.134526095392651</v>
          </cell>
          <cell r="E3">
            <v>53.585470814005788</v>
          </cell>
          <cell r="F3">
            <v>55.066259710515446</v>
          </cell>
          <cell r="G3">
            <v>56.762827743909895</v>
          </cell>
        </row>
        <row r="6">
          <cell r="B6">
            <v>0</v>
          </cell>
          <cell r="C6">
            <v>4.8943306189813125</v>
          </cell>
          <cell r="D6">
            <v>4.8944725467604826</v>
          </cell>
          <cell r="E6">
            <v>6.8593404715548045</v>
          </cell>
          <cell r="F6">
            <v>10.457272436586315</v>
          </cell>
          <cell r="G6">
            <v>26.65741232134901</v>
          </cell>
        </row>
        <row r="11">
          <cell r="B11">
            <v>60.070025383637869</v>
          </cell>
          <cell r="C11">
            <v>62.621480109956707</v>
          </cell>
          <cell r="D11">
            <v>67.582234725221298</v>
          </cell>
          <cell r="E11">
            <v>69.672900630485245</v>
          </cell>
          <cell r="F11">
            <v>70.868897338965681</v>
          </cell>
          <cell r="G11">
            <v>66.409366229398017</v>
          </cell>
        </row>
        <row r="18">
          <cell r="B18">
            <v>3.5600042894966295</v>
          </cell>
          <cell r="C18">
            <v>3.4647174424554592</v>
          </cell>
          <cell r="D18">
            <v>2.0975039171255492E-3</v>
          </cell>
          <cell r="E18">
            <v>2.9402337953044606</v>
          </cell>
          <cell r="F18">
            <v>2.8655744040051055E-4</v>
          </cell>
          <cell r="G18">
            <v>2.1589792879176303E-4</v>
          </cell>
        </row>
        <row r="19">
          <cell r="B19">
            <v>12.728661653830741</v>
          </cell>
          <cell r="C19">
            <v>13.638432448391468</v>
          </cell>
          <cell r="D19">
            <v>13.407380155874833</v>
          </cell>
          <cell r="E19">
            <v>15.156660421316699</v>
          </cell>
          <cell r="F19">
            <v>15.756353943992044</v>
          </cell>
          <cell r="G19">
            <v>19.749235744461348</v>
          </cell>
        </row>
        <row r="21">
          <cell r="B21">
            <v>7.798042675176549</v>
          </cell>
          <cell r="C21">
            <v>8.0801503476608314</v>
          </cell>
          <cell r="D21">
            <v>5.6082813272328016</v>
          </cell>
          <cell r="E21">
            <v>5.7249344362685441</v>
          </cell>
          <cell r="F21">
            <v>5.4553783075583517</v>
          </cell>
          <cell r="G21">
            <v>2.0817730726673308E-3</v>
          </cell>
        </row>
        <row r="22">
          <cell r="B22">
            <v>6.7640643251916405E-2</v>
          </cell>
          <cell r="C22">
            <v>8.5494204607906327E-2</v>
          </cell>
          <cell r="D22">
            <v>0.49031735934779053</v>
          </cell>
          <cell r="E22">
            <v>0.70116803894032886</v>
          </cell>
          <cell r="F22">
            <v>0.66197340303715124</v>
          </cell>
          <cell r="G22">
            <v>0.43885864913992634</v>
          </cell>
        </row>
        <row r="23">
          <cell r="B23">
            <v>0</v>
          </cell>
          <cell r="C23">
            <v>0</v>
          </cell>
          <cell r="D23">
            <v>1.7694241489502608E-2</v>
          </cell>
          <cell r="E23">
            <v>12.200341495214962</v>
          </cell>
          <cell r="F23">
            <v>11.832030697208431</v>
          </cell>
          <cell r="G23">
            <v>11.760304541936076</v>
          </cell>
        </row>
        <row r="24">
          <cell r="B24">
            <v>0.74848529717172507</v>
          </cell>
          <cell r="C24">
            <v>0.94973099888997892</v>
          </cell>
          <cell r="D24">
            <v>2.4342123863468172</v>
          </cell>
          <cell r="E24">
            <v>3.9735618461185314</v>
          </cell>
          <cell r="F24">
            <v>4.0402424388500835</v>
          </cell>
          <cell r="G24">
            <v>4.1022546690709669</v>
          </cell>
        </row>
        <row r="33">
          <cell r="B33">
            <v>12.006627731466873</v>
          </cell>
          <cell r="C33">
            <v>12.710042397630293</v>
          </cell>
          <cell r="D33">
            <v>16.082914383976622</v>
          </cell>
          <cell r="E33">
            <v>16.729949828408838</v>
          </cell>
          <cell r="F33">
            <v>16.624058231661877</v>
          </cell>
          <cell r="G33">
            <v>16.523101963466317</v>
          </cell>
        </row>
        <row r="34">
          <cell r="B34">
            <v>8.897807271648885</v>
          </cell>
          <cell r="C34">
            <v>7.9524938328792727</v>
          </cell>
          <cell r="D34">
            <v>7.9326722375822429</v>
          </cell>
          <cell r="E34">
            <v>6.284309559590759</v>
          </cell>
          <cell r="F34">
            <v>2.8809573245682349</v>
          </cell>
          <cell r="G34">
            <v>1.5954781004923851E-6</v>
          </cell>
        </row>
        <row r="35">
          <cell r="B35">
            <v>2.7300020753577039</v>
          </cell>
          <cell r="C35">
            <v>1.0630303759810041E-3</v>
          </cell>
          <cell r="D35">
            <v>1.3941479253440729E-3</v>
          </cell>
          <cell r="E35">
            <v>2.351222747524737E-3</v>
          </cell>
          <cell r="F35">
            <v>3.5387295624966883E-4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2.8359133670113033E-4</v>
          </cell>
          <cell r="E36">
            <v>2.5820213678201889E-4</v>
          </cell>
          <cell r="F36">
            <v>0.22756166339785747</v>
          </cell>
          <cell r="G36">
            <v>0.19715532544603048</v>
          </cell>
        </row>
        <row r="37">
          <cell r="B37">
            <v>35.242271024302653</v>
          </cell>
          <cell r="C37">
            <v>31.554839773181744</v>
          </cell>
          <cell r="D37">
            <v>29.74626631551012</v>
          </cell>
          <cell r="E37">
            <v>11.035238569529207</v>
          </cell>
          <cell r="F37">
            <v>2.2532951542758135</v>
          </cell>
          <cell r="G37">
            <v>2.662795054731939E-3</v>
          </cell>
        </row>
        <row r="38">
          <cell r="B38">
            <v>0.31009344621543122</v>
          </cell>
          <cell r="C38">
            <v>3.6128225641129962E-4</v>
          </cell>
          <cell r="D38">
            <v>8.6176700784625527E-4</v>
          </cell>
          <cell r="E38">
            <v>8.617661282430127E-4</v>
          </cell>
          <cell r="F38">
            <v>1.5098788577440783</v>
          </cell>
          <cell r="G38">
            <v>5.7284208635145154E-4</v>
          </cell>
        </row>
        <row r="39">
          <cell r="B39">
            <v>0.43672772752918304</v>
          </cell>
          <cell r="C39">
            <v>0.55206570967543545</v>
          </cell>
          <cell r="D39">
            <v>3.2870546243717591</v>
          </cell>
          <cell r="E39">
            <v>3.2870587088070895</v>
          </cell>
          <cell r="F39">
            <v>7.6944180880994013</v>
          </cell>
          <cell r="G39">
            <v>7.6944478255217961</v>
          </cell>
        </row>
        <row r="55">
          <cell r="B55">
            <v>9.8138985341457481</v>
          </cell>
          <cell r="C55">
            <v>10.335083785698153</v>
          </cell>
          <cell r="D55">
            <v>12.611751859860615</v>
          </cell>
          <cell r="E55">
            <v>12.611752616629538</v>
          </cell>
          <cell r="F55">
            <v>12.611752178560325</v>
          </cell>
          <cell r="G55">
            <v>12.611751272116093</v>
          </cell>
        </row>
        <row r="56">
          <cell r="B56">
            <v>1.1081645019789372</v>
          </cell>
          <cell r="C56">
            <v>1.4007944489975612</v>
          </cell>
          <cell r="D56">
            <v>3.5676863017012685</v>
          </cell>
          <cell r="E56">
            <v>5.7736706663059048</v>
          </cell>
          <cell r="F56">
            <v>5.7737002645297721</v>
          </cell>
          <cell r="G56">
            <v>5.7737074262451555</v>
          </cell>
        </row>
        <row r="57">
          <cell r="B57">
            <v>6.9177082137090657</v>
          </cell>
          <cell r="C57">
            <v>6.1927650881666976</v>
          </cell>
          <cell r="D57">
            <v>6.192517009273387</v>
          </cell>
          <cell r="E57">
            <v>4.9255356347902683</v>
          </cell>
          <cell r="F57">
            <v>2.4558533039415571</v>
          </cell>
          <cell r="G57">
            <v>0.15700166195947507</v>
          </cell>
        </row>
        <row r="58">
          <cell r="B58">
            <v>1.8458226532012285</v>
          </cell>
          <cell r="C58">
            <v>7.2185077680990135E-4</v>
          </cell>
          <cell r="D58">
            <v>9.5281297272733925E-4</v>
          </cell>
          <cell r="E58">
            <v>1.624107112852714E-3</v>
          </cell>
          <cell r="F58">
            <v>2.4961313651460988E-4</v>
          </cell>
          <cell r="G58">
            <v>0</v>
          </cell>
        </row>
        <row r="59">
          <cell r="B59">
            <v>28.619771827059978</v>
          </cell>
          <cell r="C59">
            <v>25.424276508471177</v>
          </cell>
          <cell r="D59">
            <v>24.011506342351097</v>
          </cell>
          <cell r="E59">
            <v>9.1937489437587736</v>
          </cell>
          <cell r="F59">
            <v>3.0707415750541474</v>
          </cell>
          <cell r="G59">
            <v>8.0934543785109636E-4</v>
          </cell>
        </row>
        <row r="60">
          <cell r="B60">
            <v>0</v>
          </cell>
          <cell r="C60">
            <v>0</v>
          </cell>
          <cell r="D60">
            <v>3.9899510219371529E-3</v>
          </cell>
          <cell r="E60">
            <v>4.2560974575443647E-3</v>
          </cell>
          <cell r="F60">
            <v>4.3742161504230076E-3</v>
          </cell>
          <cell r="G60">
            <v>4.6554952252963414E-3</v>
          </cell>
        </row>
        <row r="61">
          <cell r="B61">
            <v>2.3674028525152573</v>
          </cell>
          <cell r="C61">
            <v>2.3075018166753347</v>
          </cell>
          <cell r="D61">
            <v>1.4000838646813047E-3</v>
          </cell>
          <cell r="E61">
            <v>1.9699566428539876</v>
          </cell>
          <cell r="F61">
            <v>1.9342627227034482E-4</v>
          </cell>
          <cell r="G61">
            <v>1.4681059157839883E-4</v>
          </cell>
        </row>
        <row r="62">
          <cell r="B62">
            <v>5.1850640044125473</v>
          </cell>
          <cell r="C62">
            <v>5.5675625121272372</v>
          </cell>
          <cell r="D62">
            <v>5.6486850368279837</v>
          </cell>
          <cell r="E62">
            <v>7.7324478170489348</v>
          </cell>
          <cell r="F62">
            <v>6.6731870303141108</v>
          </cell>
          <cell r="G62">
            <v>12.52882294606435</v>
          </cell>
        </row>
        <row r="63">
          <cell r="B63">
            <v>6.582281546239158</v>
          </cell>
          <cell r="C63">
            <v>7.0678500264185695</v>
          </cell>
          <cell r="D63">
            <v>6.8124896004855255</v>
          </cell>
          <cell r="E63">
            <v>6.4295836092677785</v>
          </cell>
          <cell r="F63">
            <v>8.2070676745328583</v>
          </cell>
          <cell r="G63">
            <v>5.427677025969178</v>
          </cell>
        </row>
        <row r="64">
          <cell r="B64">
            <v>5.3111205868335913</v>
          </cell>
          <cell r="C64">
            <v>6.2669396804598643</v>
          </cell>
          <cell r="D64">
            <v>6.2611640730736644</v>
          </cell>
          <cell r="E64">
            <v>5.6894381922803694</v>
          </cell>
          <cell r="F64">
            <v>9.7223873323861909</v>
          </cell>
          <cell r="G64">
            <v>4.4559154969080605</v>
          </cell>
        </row>
        <row r="65">
          <cell r="B65">
            <v>0.46151931234418603</v>
          </cell>
          <cell r="C65">
            <v>0.54457532028075273</v>
          </cell>
          <cell r="D65">
            <v>0.54477805678716262</v>
          </cell>
          <cell r="E65">
            <v>0.5449710672560617</v>
          </cell>
          <cell r="F65">
            <v>0.58329708796409174</v>
          </cell>
          <cell r="G65">
            <v>0.58330202639452822</v>
          </cell>
        </row>
        <row r="66">
          <cell r="B66">
            <v>4.1173665324932189</v>
          </cell>
          <cell r="C66">
            <v>4.2663193835649187</v>
          </cell>
          <cell r="D66">
            <v>2.9611725407789153</v>
          </cell>
          <cell r="E66">
            <v>3.022765382349788</v>
          </cell>
          <cell r="F66">
            <v>2.8804397463908096</v>
          </cell>
          <cell r="G66">
            <v>1.1324845515310275E-3</v>
          </cell>
        </row>
        <row r="67">
          <cell r="B67">
            <v>6.7640643251916405E-2</v>
          </cell>
          <cell r="C67">
            <v>8.5494204607906327E-2</v>
          </cell>
          <cell r="D67">
            <v>0.49031735934779053</v>
          </cell>
          <cell r="E67">
            <v>0.70116803894032886</v>
          </cell>
          <cell r="F67">
            <v>0.66197340303715124</v>
          </cell>
          <cell r="G67">
            <v>0.43885864913992634</v>
          </cell>
        </row>
        <row r="68">
          <cell r="B68">
            <v>0.31051341427324913</v>
          </cell>
          <cell r="C68">
            <v>0.39251871957923484</v>
          </cell>
          <cell r="D68">
            <v>2.3370958379283207</v>
          </cell>
          <cell r="E68">
            <v>2.3370987419618419</v>
          </cell>
          <cell r="F68">
            <v>5.4707312606386669</v>
          </cell>
          <cell r="G68">
            <v>5.540002434375694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9.5499431285721794</v>
          </cell>
          <cell r="F69">
            <v>9.5499445583718092</v>
          </cell>
          <cell r="G69">
            <v>9.5499452087680812</v>
          </cell>
        </row>
        <row r="70">
          <cell r="B70">
            <v>0</v>
          </cell>
          <cell r="C70">
            <v>4.2589723092831138</v>
          </cell>
          <cell r="D70">
            <v>4.2592652609258748</v>
          </cell>
          <cell r="E70">
            <v>6.2168712345074972</v>
          </cell>
          <cell r="F70">
            <v>9.6361586484721595</v>
          </cell>
          <cell r="G70">
            <v>20.882495739249986</v>
          </cell>
        </row>
        <row r="71">
          <cell r="B71">
            <v>72.708274622458077</v>
          </cell>
          <cell r="C71">
            <v>74.111375655107338</v>
          </cell>
          <cell r="D71">
            <v>75.70477212720094</v>
          </cell>
          <cell r="E71">
            <v>76.704831921093643</v>
          </cell>
          <cell r="F71">
            <v>77.302051319752863</v>
          </cell>
          <cell r="G71">
            <v>77.956224022996793</v>
          </cell>
        </row>
      </sheetData>
      <sheetData sheetId="45">
        <row r="3">
          <cell r="B3">
            <v>56.994774574912441</v>
          </cell>
          <cell r="C3">
            <v>58.70189536745044</v>
          </cell>
          <cell r="D3">
            <v>54.637037627495552</v>
          </cell>
          <cell r="E3">
            <v>51.258299785966898</v>
          </cell>
          <cell r="F3">
            <v>46.154137364212815</v>
          </cell>
          <cell r="G3">
            <v>41.108441903469313</v>
          </cell>
        </row>
        <row r="6">
          <cell r="B6">
            <v>0</v>
          </cell>
          <cell r="C6">
            <v>9.1171673255251662</v>
          </cell>
          <cell r="D6">
            <v>2.4313682274276847</v>
          </cell>
          <cell r="E6">
            <v>5.3967417760463743</v>
          </cell>
          <cell r="F6">
            <v>10.155909707464026</v>
          </cell>
          <cell r="G6">
            <v>15.154740835488345</v>
          </cell>
        </row>
        <row r="11">
          <cell r="B11">
            <v>60.950012231356595</v>
          </cell>
          <cell r="C11">
            <v>60.370769080047253</v>
          </cell>
          <cell r="D11">
            <v>57.720704969117243</v>
          </cell>
          <cell r="E11">
            <v>56.438859124227534</v>
          </cell>
          <cell r="F11">
            <v>53.850652001564491</v>
          </cell>
          <cell r="G11">
            <v>48.125463672882837</v>
          </cell>
        </row>
        <row r="12">
          <cell r="B12">
            <v>30.256636734487458</v>
          </cell>
          <cell r="C12">
            <v>25.333442974615789</v>
          </cell>
          <cell r="D12">
            <v>24.455111159897928</v>
          </cell>
          <cell r="E12">
            <v>12.272149582256599</v>
          </cell>
          <cell r="F12">
            <v>2.3678457072529784</v>
          </cell>
          <cell r="G12">
            <v>1.434313493207319E-6</v>
          </cell>
        </row>
        <row r="13">
          <cell r="B13">
            <v>0</v>
          </cell>
          <cell r="C13">
            <v>0</v>
          </cell>
          <cell r="D13">
            <v>5.7725777736054233E-4</v>
          </cell>
          <cell r="E13">
            <v>5.4476775451011393E-4</v>
          </cell>
          <cell r="F13">
            <v>8.7121409305878283E-4</v>
          </cell>
          <cell r="G13">
            <v>7.9229570659962056E-2</v>
          </cell>
        </row>
        <row r="14">
          <cell r="B14">
            <v>25.261711011587749</v>
          </cell>
          <cell r="C14">
            <v>25.299721380195976</v>
          </cell>
          <cell r="D14">
            <v>21.444133499956664</v>
          </cell>
          <cell r="E14">
            <v>13.59189174009955</v>
          </cell>
          <cell r="F14">
            <v>5.2187883277497988</v>
          </cell>
          <cell r="G14">
            <v>3.2232653586320485</v>
          </cell>
        </row>
        <row r="15">
          <cell r="B15">
            <v>0.28697858277868127</v>
          </cell>
          <cell r="C15">
            <v>1.4500608921838469</v>
          </cell>
          <cell r="D15">
            <v>0.99523882149894061</v>
          </cell>
          <cell r="E15">
            <v>1.2288755682513848</v>
          </cell>
          <cell r="F15">
            <v>3.6791745786092956E-4</v>
          </cell>
          <cell r="G15">
            <v>3.0058083519700574E-4</v>
          </cell>
        </row>
        <row r="16">
          <cell r="B16">
            <v>1.4022789751343248</v>
          </cell>
          <cell r="C16">
            <v>1.537224926538963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7.726892276182447</v>
          </cell>
          <cell r="C17">
            <v>8.3696987768589395</v>
          </cell>
          <cell r="D17">
            <v>6.8674032595687251</v>
          </cell>
          <cell r="E17">
            <v>8.3290056176157812</v>
          </cell>
          <cell r="F17">
            <v>8.1522905379863602</v>
          </cell>
          <cell r="G17">
            <v>6.9557151024256498</v>
          </cell>
        </row>
        <row r="19">
          <cell r="B19">
            <v>0.62699619610892676</v>
          </cell>
          <cell r="C19">
            <v>0.68733634538290822</v>
          </cell>
          <cell r="D19">
            <v>0.55865361244247658</v>
          </cell>
          <cell r="E19">
            <v>0.80650740945830168</v>
          </cell>
          <cell r="F19">
            <v>1.1662652882050146</v>
          </cell>
          <cell r="G19">
            <v>1.3447868745099547</v>
          </cell>
        </row>
        <row r="20">
          <cell r="B20">
            <v>0</v>
          </cell>
          <cell r="C20">
            <v>0</v>
          </cell>
          <cell r="D20">
            <v>1.2923004752416558E-2</v>
          </cell>
          <cell r="E20">
            <v>0.45828528162861687</v>
          </cell>
          <cell r="F20">
            <v>1.493232142500684E-4</v>
          </cell>
          <cell r="G20">
            <v>7.7366444694310322E-3</v>
          </cell>
        </row>
        <row r="21">
          <cell r="B21">
            <v>2.9295878828450688</v>
          </cell>
          <cell r="C21">
            <v>3.1924517897406703</v>
          </cell>
          <cell r="D21">
            <v>5.0953545917324803</v>
          </cell>
          <cell r="E21">
            <v>12.960561681599762</v>
          </cell>
          <cell r="F21">
            <v>22.959753993940442</v>
          </cell>
          <cell r="G21">
            <v>22.692916076164273</v>
          </cell>
        </row>
        <row r="28">
          <cell r="B28">
            <v>3.9552376564441563</v>
          </cell>
          <cell r="C28">
            <v>1.6688737125968118</v>
          </cell>
          <cell r="D28">
            <v>3.0836673416216858</v>
          </cell>
          <cell r="E28">
            <v>5.1805593382606334</v>
          </cell>
          <cell r="F28">
            <v>7.696514637351676</v>
          </cell>
          <cell r="G28">
            <v>7.0170217694135264</v>
          </cell>
        </row>
        <row r="47">
          <cell r="B47">
            <v>4.2612187386837377</v>
          </cell>
          <cell r="C47">
            <v>4.6176534815891861</v>
          </cell>
          <cell r="D47">
            <v>6.1208938377760518</v>
          </cell>
          <cell r="E47">
            <v>15.337583571368025</v>
          </cell>
          <cell r="F47">
            <v>26.672633499045435</v>
          </cell>
          <cell r="G47">
            <v>26.244106879567738</v>
          </cell>
        </row>
        <row r="48">
          <cell r="B48">
            <v>24.843071828561985</v>
          </cell>
          <cell r="C48">
            <v>20.841933210187904</v>
          </cell>
          <cell r="D48">
            <v>19.279992613135196</v>
          </cell>
          <cell r="E48">
            <v>10.022013964569531</v>
          </cell>
          <cell r="F48">
            <v>1.9343196682658867</v>
          </cell>
          <cell r="G48">
            <v>6.5069620268638981E-2</v>
          </cell>
        </row>
        <row r="49">
          <cell r="B49">
            <v>24.189716743602261</v>
          </cell>
          <cell r="C49">
            <v>25.326921513210717</v>
          </cell>
          <cell r="D49">
            <v>18.182416815545189</v>
          </cell>
          <cell r="E49">
            <v>11.397224815994248</v>
          </cell>
          <cell r="F49">
            <v>1.9313171475499256</v>
          </cell>
          <cell r="G49">
            <v>0.82387843011120787</v>
          </cell>
        </row>
        <row r="50">
          <cell r="B50">
            <v>0</v>
          </cell>
          <cell r="C50">
            <v>0</v>
          </cell>
          <cell r="D50">
            <v>2.1272004794909001</v>
          </cell>
          <cell r="E50">
            <v>4.3108506984651882</v>
          </cell>
          <cell r="F50">
            <v>6.5792209745052297</v>
          </cell>
          <cell r="G50">
            <v>5.479751677438462</v>
          </cell>
        </row>
        <row r="51">
          <cell r="B51">
            <v>2.0957194614069143</v>
          </cell>
          <cell r="C51">
            <v>2.2700638672260744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5.55390389201371</v>
          </cell>
          <cell r="C52">
            <v>6.0159379218642766</v>
          </cell>
          <cell r="D52">
            <v>5.6545902971142619</v>
          </cell>
          <cell r="E52">
            <v>6.8875760159332504</v>
          </cell>
          <cell r="F52">
            <v>6.7414435002419273</v>
          </cell>
          <cell r="G52">
            <v>5.7519491176481576</v>
          </cell>
        </row>
        <row r="53">
          <cell r="B53">
            <v>6.1735470721478336</v>
          </cell>
          <cell r="C53">
            <v>5.9732421746373658</v>
          </cell>
          <cell r="D53">
            <v>6.4896895008100994</v>
          </cell>
          <cell r="E53">
            <v>5.5653834919740071</v>
          </cell>
          <cell r="F53">
            <v>2.9214370701564256</v>
          </cell>
          <cell r="G53">
            <v>1.2769121992081476</v>
          </cell>
        </row>
        <row r="54">
          <cell r="B54">
            <v>1.877072582999288</v>
          </cell>
          <cell r="C54">
            <v>2.1600829286872552</v>
          </cell>
          <cell r="D54">
            <v>0.18842554703360778</v>
          </cell>
          <cell r="E54">
            <v>0.16723658017175563</v>
          </cell>
          <cell r="F54">
            <v>8.8537314285752677E-2</v>
          </cell>
          <cell r="G54">
            <v>3.1466126322158637E-2</v>
          </cell>
        </row>
        <row r="55">
          <cell r="B55">
            <v>0.62699619610892676</v>
          </cell>
          <cell r="C55">
            <v>0.68733634538290822</v>
          </cell>
          <cell r="D55">
            <v>0.55865361244247658</v>
          </cell>
          <cell r="E55">
            <v>0.80650740945830168</v>
          </cell>
          <cell r="F55">
            <v>1.1662652882050146</v>
          </cell>
          <cell r="G55">
            <v>1.3447868745099547</v>
          </cell>
        </row>
        <row r="56">
          <cell r="B56">
            <v>1.2230677221121578</v>
          </cell>
          <cell r="C56">
            <v>1.3407675809272852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9.1171673255251662</v>
          </cell>
          <cell r="D58">
            <v>2.4313682274276847</v>
          </cell>
          <cell r="E58">
            <v>5.3967417760463743</v>
          </cell>
          <cell r="F58">
            <v>10.155909707464026</v>
          </cell>
          <cell r="G58">
            <v>15.154740835488345</v>
          </cell>
        </row>
        <row r="59">
          <cell r="B59">
            <v>73.238355443189334</v>
          </cell>
          <cell r="C59">
            <v>78.574066248222834</v>
          </cell>
          <cell r="D59">
            <v>61.520732804445252</v>
          </cell>
          <cell r="E59">
            <v>60.178137157804322</v>
          </cell>
          <cell r="F59">
            <v>58.389556939185759</v>
          </cell>
          <cell r="G59">
            <v>56.312073625019721</v>
          </cell>
        </row>
      </sheetData>
      <sheetData sheetId="46">
        <row r="3">
          <cell r="B3">
            <v>44.576908727013368</v>
          </cell>
          <cell r="C3">
            <v>44.861181093551671</v>
          </cell>
          <cell r="D3">
            <v>47.868078512284235</v>
          </cell>
          <cell r="E3">
            <v>45.05744510269097</v>
          </cell>
          <cell r="F3">
            <v>41.475287048674637</v>
          </cell>
          <cell r="G3">
            <v>37.050884499639139</v>
          </cell>
        </row>
        <row r="10">
          <cell r="B10">
            <v>0.11027577296765634</v>
          </cell>
          <cell r="C10">
            <v>8.4916582208541644</v>
          </cell>
          <cell r="D10">
            <v>5.2662915774341217</v>
          </cell>
          <cell r="E10">
            <v>11.94290962122675</v>
          </cell>
          <cell r="F10">
            <v>22.034885400151854</v>
          </cell>
          <cell r="G10">
            <v>32.537201664956804</v>
          </cell>
        </row>
        <row r="15">
          <cell r="B15">
            <v>69.470043085507328</v>
          </cell>
          <cell r="C15">
            <v>68.439777417350655</v>
          </cell>
          <cell r="D15">
            <v>68.206293713185687</v>
          </cell>
          <cell r="E15">
            <v>68.670099454638205</v>
          </cell>
          <cell r="F15">
            <v>68.790789191034989</v>
          </cell>
          <cell r="G15">
            <v>61.142886704150797</v>
          </cell>
        </row>
        <row r="16">
          <cell r="B16">
            <v>60.231834741747335</v>
          </cell>
          <cell r="C16">
            <v>51.320018480843956</v>
          </cell>
          <cell r="D16">
            <v>47.405061802882848</v>
          </cell>
          <cell r="E16">
            <v>20.891460430187763</v>
          </cell>
          <cell r="F16">
            <v>2.9716251052873246</v>
          </cell>
          <cell r="G16">
            <v>3.0375258279257188E-6</v>
          </cell>
        </row>
        <row r="17">
          <cell r="B17">
            <v>0</v>
          </cell>
          <cell r="C17">
            <v>0</v>
          </cell>
          <cell r="D17">
            <v>5.8501552300396905E-4</v>
          </cell>
          <cell r="E17">
            <v>5.5344643101448417E-4</v>
          </cell>
          <cell r="F17">
            <v>8.9001044526779518E-4</v>
          </cell>
          <cell r="G17">
            <v>0.1717505868589419</v>
          </cell>
        </row>
        <row r="18">
          <cell r="B18">
            <v>46.693285544410116</v>
          </cell>
          <cell r="C18">
            <v>46.417998729917869</v>
          </cell>
          <cell r="D18">
            <v>43.587471203521119</v>
          </cell>
          <cell r="E18">
            <v>28.212809577978234</v>
          </cell>
          <cell r="F18">
            <v>11.092024331897838</v>
          </cell>
          <cell r="G18">
            <v>6.7582070868745667</v>
          </cell>
        </row>
        <row r="19">
          <cell r="B19">
            <v>0.3086459917390289</v>
          </cell>
          <cell r="C19">
            <v>1.8246364848241232</v>
          </cell>
          <cell r="D19">
            <v>1.3920755795416029</v>
          </cell>
          <cell r="E19">
            <v>2.0050428117335048</v>
          </cell>
          <cell r="F19">
            <v>2.4979325095179889E-4</v>
          </cell>
          <cell r="G19">
            <v>2.0615094352344668E-4</v>
          </cell>
        </row>
        <row r="20">
          <cell r="B20">
            <v>0.10000084103655721</v>
          </cell>
          <cell r="C20">
            <v>9.9999680684320025E-2</v>
          </cell>
          <cell r="D20">
            <v>2.590619995005115E-2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8.3541913713022264</v>
          </cell>
          <cell r="C21">
            <v>9.690836452633425</v>
          </cell>
          <cell r="D21">
            <v>10.161880278660485</v>
          </cell>
          <cell r="E21">
            <v>12.189000902073628</v>
          </cell>
          <cell r="F21">
            <v>11.493189307986201</v>
          </cell>
          <cell r="G21">
            <v>9.995890619831421</v>
          </cell>
        </row>
        <row r="22">
          <cell r="B22">
            <v>16.991210774069344</v>
          </cell>
          <cell r="C22">
            <v>18.499777764828302</v>
          </cell>
          <cell r="D22">
            <v>16.566196372950152</v>
          </cell>
          <cell r="E22">
            <v>13.263127476185325</v>
          </cell>
          <cell r="F22">
            <v>7.6941150267669869</v>
          </cell>
          <cell r="G22">
            <v>3.3837891181206436</v>
          </cell>
        </row>
        <row r="23">
          <cell r="B23">
            <v>2.5068272513745402</v>
          </cell>
          <cell r="C23">
            <v>2.9280129881346282</v>
          </cell>
          <cell r="D23">
            <v>1.0090636907410762</v>
          </cell>
          <cell r="E23">
            <v>1.4645224473542724</v>
          </cell>
          <cell r="F23">
            <v>2.0956191091848981</v>
          </cell>
          <cell r="G23">
            <v>2.5272444384954449</v>
          </cell>
        </row>
        <row r="24">
          <cell r="B24">
            <v>0</v>
          </cell>
          <cell r="C24">
            <v>0</v>
          </cell>
          <cell r="D24">
            <v>2.6326018642135393E-2</v>
          </cell>
          <cell r="E24">
            <v>0.93448258676085005</v>
          </cell>
          <cell r="F24">
            <v>1.0892107167026401E-4</v>
          </cell>
          <cell r="G24">
            <v>1.5281553269061193E-2</v>
          </cell>
        </row>
        <row r="25">
          <cell r="B25">
            <v>15.194987936662777</v>
          </cell>
          <cell r="C25">
            <v>17.635920275478163</v>
          </cell>
          <cell r="D25">
            <v>26.708113361769481</v>
          </cell>
          <cell r="E25">
            <v>45.869728830209574</v>
          </cell>
          <cell r="F25">
            <v>65.752962034391032</v>
          </cell>
          <cell r="G25">
            <v>65.389044388798396</v>
          </cell>
        </row>
        <row r="26">
          <cell r="B26">
            <v>219.85102753784926</v>
          </cell>
          <cell r="C26">
            <v>216.85697827469545</v>
          </cell>
          <cell r="D26">
            <v>215.08897323736758</v>
          </cell>
          <cell r="E26">
            <v>193.50082796355238</v>
          </cell>
          <cell r="F26">
            <v>169.89157283131715</v>
          </cell>
          <cell r="G26">
            <v>149.38430368486866</v>
          </cell>
        </row>
        <row r="102">
          <cell r="B102">
            <v>8.9080139730102026</v>
          </cell>
          <cell r="C102">
            <v>6.373704886187241</v>
          </cell>
          <cell r="D102">
            <v>0.81149253635308982</v>
          </cell>
          <cell r="E102">
            <v>0.14469135256452201</v>
          </cell>
          <cell r="F102">
            <v>1.1418892330621508E-2</v>
          </cell>
          <cell r="G102">
            <v>6.4240302736488673E-3</v>
          </cell>
        </row>
        <row r="104">
          <cell r="B104">
            <v>19.060346455525774</v>
          </cell>
          <cell r="C104">
            <v>22.071016221814862</v>
          </cell>
          <cell r="D104">
            <v>32.882347569845436</v>
          </cell>
          <cell r="E104">
            <v>51.441608508461734</v>
          </cell>
          <cell r="F104">
            <v>67.328705632331406</v>
          </cell>
          <cell r="G104">
            <v>62.644992103557854</v>
          </cell>
        </row>
        <row r="105">
          <cell r="B105">
            <v>45.124396277109128</v>
          </cell>
          <cell r="C105">
            <v>39.025739303500814</v>
          </cell>
          <cell r="D105">
            <v>32.905673890881154</v>
          </cell>
          <cell r="E105">
            <v>15.175959916171127</v>
          </cell>
          <cell r="F105">
            <v>1.9670019352637871</v>
          </cell>
          <cell r="G105">
            <v>0.12401817006610999</v>
          </cell>
        </row>
        <row r="106">
          <cell r="B106">
            <v>36.569926419697055</v>
          </cell>
          <cell r="C106">
            <v>38.848877247635187</v>
          </cell>
          <cell r="D106">
            <v>30.703749631826</v>
          </cell>
          <cell r="E106">
            <v>19.986921542747965</v>
          </cell>
          <cell r="F106">
            <v>3.5075809143765992</v>
          </cell>
          <cell r="G106">
            <v>1.4136415239890261</v>
          </cell>
        </row>
        <row r="107">
          <cell r="B107">
            <v>0</v>
          </cell>
          <cell r="C107">
            <v>0</v>
          </cell>
          <cell r="D107">
            <v>3.9371002166835418</v>
          </cell>
          <cell r="E107">
            <v>6.8619209605726148</v>
          </cell>
          <cell r="F107">
            <v>9.1972878739253581</v>
          </cell>
          <cell r="G107">
            <v>7.4544408527223398</v>
          </cell>
        </row>
        <row r="108">
          <cell r="B108">
            <v>7.200060554632122E-2</v>
          </cell>
          <cell r="C108">
            <v>7.1999770092710483E-2</v>
          </cell>
          <cell r="D108">
            <v>2.0675211482610711E-2</v>
          </cell>
          <cell r="E108">
            <v>0</v>
          </cell>
          <cell r="F108">
            <v>0</v>
          </cell>
          <cell r="G108">
            <v>0</v>
          </cell>
        </row>
        <row r="109">
          <cell r="B109">
            <v>7.9053410435770174E-2</v>
          </cell>
          <cell r="C109">
            <v>2.4270440258357926E-2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6.4982432047774541</v>
          </cell>
          <cell r="C110">
            <v>7.693046183054749</v>
          </cell>
          <cell r="D110">
            <v>7.0823774824253096</v>
          </cell>
          <cell r="E110">
            <v>8.372915020865916</v>
          </cell>
          <cell r="F110">
            <v>7.6161963219048898</v>
          </cell>
          <cell r="G110">
            <v>6.3789492610027381</v>
          </cell>
        </row>
        <row r="111">
          <cell r="B111">
            <v>9.1310786565181168</v>
          </cell>
          <cell r="C111">
            <v>9.7007821544990787</v>
          </cell>
          <cell r="D111">
            <v>9.8842831984216755</v>
          </cell>
          <cell r="E111">
            <v>7.8790429719428259</v>
          </cell>
          <cell r="F111">
            <v>4.4681345042497256</v>
          </cell>
          <cell r="G111">
            <v>1.9849216521401223</v>
          </cell>
        </row>
        <row r="112">
          <cell r="B112">
            <v>2.6968878947827584</v>
          </cell>
          <cell r="C112">
            <v>3.1682227801373704</v>
          </cell>
          <cell r="D112">
            <v>0.18588227467503601</v>
          </cell>
          <cell r="E112">
            <v>0.16071367341520915</v>
          </cell>
          <cell r="F112">
            <v>9.4617875687907124E-2</v>
          </cell>
          <cell r="G112">
            <v>3.6963758070778077E-2</v>
          </cell>
        </row>
        <row r="113">
          <cell r="B113">
            <v>0.78533922671468948</v>
          </cell>
          <cell r="C113">
            <v>0.94128455477003037</v>
          </cell>
          <cell r="D113">
            <v>3.219255250401673E-2</v>
          </cell>
          <cell r="E113">
            <v>4.2151412645139913E-2</v>
          </cell>
          <cell r="F113">
            <v>4.749474769142726E-2</v>
          </cell>
          <cell r="G113">
            <v>4.9741083651516617E-2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129.03556189708493</v>
          </cell>
          <cell r="C116">
            <v>136.41060176280459</v>
          </cell>
          <cell r="D116">
            <v>123.712066142532</v>
          </cell>
          <cell r="E116">
            <v>122.0088349806138</v>
          </cell>
          <cell r="F116">
            <v>116.27332409791359</v>
          </cell>
          <cell r="G116">
            <v>112.63129410043095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26.978326886490784</v>
          </cell>
          <cell r="C224">
            <v>25.930158037218263</v>
          </cell>
          <cell r="D224">
            <v>21.253369549454039</v>
          </cell>
          <cell r="E224">
            <v>22.041304456174156</v>
          </cell>
          <cell r="F224">
            <v>26.415486665914894</v>
          </cell>
          <cell r="G224">
            <v>27.574102658308185</v>
          </cell>
        </row>
        <row r="231">
          <cell r="B231">
            <v>15.552718507594971</v>
          </cell>
          <cell r="C231">
            <v>13.342414545053575</v>
          </cell>
          <cell r="D231">
            <v>3.5681144151790822</v>
          </cell>
          <cell r="E231">
            <v>2.0615742919434341</v>
          </cell>
          <cell r="F231">
            <v>1.631379625489652</v>
          </cell>
          <cell r="G231">
            <v>1.4337802789116927</v>
          </cell>
        </row>
        <row r="233">
          <cell r="B233">
            <v>22.300247083253218</v>
          </cell>
          <cell r="C233">
            <v>25.706477729283375</v>
          </cell>
          <cell r="D233">
            <v>37.959245094004501</v>
          </cell>
          <cell r="E233">
            <v>60.79590339816216</v>
          </cell>
          <cell r="F233">
            <v>82.76941494373709</v>
          </cell>
          <cell r="G233">
            <v>80.162571174279279</v>
          </cell>
        </row>
        <row r="234">
          <cell r="B234">
            <v>52.108857356659769</v>
          </cell>
          <cell r="C234">
            <v>44.568335266733904</v>
          </cell>
          <cell r="D234">
            <v>37.227473968226114</v>
          </cell>
          <cell r="E234">
            <v>16.99966086281961</v>
          </cell>
          <cell r="F234">
            <v>2.3619115877421764</v>
          </cell>
          <cell r="G234">
            <v>0.14097423762717323</v>
          </cell>
        </row>
        <row r="235">
          <cell r="B235">
            <v>42.950380529942827</v>
          </cell>
          <cell r="C235">
            <v>44.390083731427573</v>
          </cell>
          <cell r="D235">
            <v>35.658129218201211</v>
          </cell>
          <cell r="E235">
            <v>22.873762007499629</v>
          </cell>
          <cell r="F235">
            <v>4.2717961978861698</v>
          </cell>
          <cell r="G235">
            <v>1.7539183083270831</v>
          </cell>
        </row>
        <row r="236">
          <cell r="B236">
            <v>0</v>
          </cell>
          <cell r="C236">
            <v>0</v>
          </cell>
          <cell r="D236">
            <v>4.8280833337758304</v>
          </cell>
          <cell r="E236">
            <v>8.9934660899069172</v>
          </cell>
          <cell r="F236">
            <v>13.004437261801161</v>
          </cell>
          <cell r="G236">
            <v>11.22183150704265</v>
          </cell>
        </row>
        <row r="238">
          <cell r="B238">
            <v>9.488323765382474E-2</v>
          </cell>
          <cell r="C238">
            <v>2.8872664828175115E-2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7.7994655882962718</v>
          </cell>
          <cell r="C239">
            <v>9.1518217875970098</v>
          </cell>
          <cell r="D239">
            <v>8.28916024243855</v>
          </cell>
          <cell r="E239">
            <v>9.9348757846243707</v>
          </cell>
          <cell r="F239">
            <v>9.2972834215284674</v>
          </cell>
          <cell r="G239">
            <v>8.0517782276854835</v>
          </cell>
        </row>
        <row r="240">
          <cell r="B240">
            <v>9.6515509084430509</v>
          </cell>
          <cell r="C240">
            <v>10.298023717541383</v>
          </cell>
          <cell r="D240">
            <v>10.91596393690836</v>
          </cell>
          <cell r="E240">
            <v>8.7884513007904932</v>
          </cell>
          <cell r="F240">
            <v>5.1042401216242475</v>
          </cell>
          <cell r="G240">
            <v>2.3299048041338986</v>
          </cell>
        </row>
        <row r="241">
          <cell r="B241">
            <v>2.866681941843261</v>
          </cell>
          <cell r="C241">
            <v>3.363059378476331</v>
          </cell>
          <cell r="D241">
            <v>0.22323500359457249</v>
          </cell>
          <cell r="E241">
            <v>0.19501363246032163</v>
          </cell>
          <cell r="F241">
            <v>0.11784309468274891</v>
          </cell>
          <cell r="G241">
            <v>4.6192117279605982E-2</v>
          </cell>
        </row>
        <row r="242">
          <cell r="B242">
            <v>2.5068272513745402</v>
          </cell>
          <cell r="C242">
            <v>2.9280129881346282</v>
          </cell>
          <cell r="D242">
            <v>1.0090636907410762</v>
          </cell>
          <cell r="E242">
            <v>1.4645224473542724</v>
          </cell>
          <cell r="F242">
            <v>2.0956191091848981</v>
          </cell>
          <cell r="G242">
            <v>2.5272444384954449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0.11027577296765634</v>
          </cell>
          <cell r="C244">
            <v>8.4916582208541644</v>
          </cell>
          <cell r="D244">
            <v>5.2662915774341217</v>
          </cell>
          <cell r="E244">
            <v>11.94290962122675</v>
          </cell>
          <cell r="F244">
            <v>22.034885400151854</v>
          </cell>
          <cell r="G244">
            <v>32.537201664956804</v>
          </cell>
        </row>
        <row r="245">
          <cell r="B245">
            <v>156.01388878357574</v>
          </cell>
          <cell r="C245">
            <v>162.34075980002285</v>
          </cell>
          <cell r="D245">
            <v>144.96543569198604</v>
          </cell>
          <cell r="E245">
            <v>144.05013943678799</v>
          </cell>
          <cell r="F245">
            <v>142.68881076382846</v>
          </cell>
          <cell r="G245">
            <v>140.20539675873914</v>
          </cell>
        </row>
      </sheetData>
      <sheetData sheetId="47">
        <row r="21">
          <cell r="B21">
            <v>78.837194399318165</v>
          </cell>
          <cell r="C21">
            <v>78.7980207571119</v>
          </cell>
          <cell r="D21">
            <v>74.359215701807344</v>
          </cell>
          <cell r="E21">
            <v>48.148768050198271</v>
          </cell>
          <cell r="F21">
            <v>17.415798601995505</v>
          </cell>
          <cell r="G21">
            <v>1.5518451588054942</v>
          </cell>
        </row>
        <row r="22">
          <cell r="B22">
            <v>116.44871591606913</v>
          </cell>
          <cell r="C22">
            <v>109.34806278424928</v>
          </cell>
          <cell r="D22">
            <v>89.182354366064899</v>
          </cell>
          <cell r="E22">
            <v>54.484781097424381</v>
          </cell>
          <cell r="F22">
            <v>41.273493142065014</v>
          </cell>
          <cell r="G22">
            <v>0.1209579935844082</v>
          </cell>
        </row>
        <row r="24">
          <cell r="B24">
            <v>0.27630317978471547</v>
          </cell>
          <cell r="C24">
            <v>0.16917344474602433</v>
          </cell>
          <cell r="D24">
            <v>0.20841152178619779</v>
          </cell>
          <cell r="E24">
            <v>2.1624125168715543E-2</v>
          </cell>
          <cell r="F24">
            <v>2.380168125268425E-2</v>
          </cell>
          <cell r="G24">
            <v>2.1469360595954286E-2</v>
          </cell>
        </row>
        <row r="25">
          <cell r="B25">
            <v>4.5656030649614987</v>
          </cell>
          <cell r="C25">
            <v>4.5633439430102047</v>
          </cell>
          <cell r="D25">
            <v>4.3372920446383141</v>
          </cell>
          <cell r="E25">
            <v>5.6045749909310185</v>
          </cell>
          <cell r="F25">
            <v>8.4054031860403295</v>
          </cell>
          <cell r="G25">
            <v>6.683821075889699</v>
          </cell>
        </row>
        <row r="26">
          <cell r="B26">
            <v>2.9709323464766619</v>
          </cell>
          <cell r="C26">
            <v>2.9709293160098822</v>
          </cell>
          <cell r="D26">
            <v>2.9709344874743824</v>
          </cell>
          <cell r="E26">
            <v>2.383917915964024</v>
          </cell>
          <cell r="F26">
            <v>4.4604183438900504</v>
          </cell>
          <cell r="G26">
            <v>26.023088147564422</v>
          </cell>
        </row>
        <row r="27">
          <cell r="B27">
            <v>2.2503005009670535E-2</v>
          </cell>
          <cell r="C27">
            <v>1.7897311717154776E-2</v>
          </cell>
          <cell r="D27">
            <v>2.2033457445274039E-2</v>
          </cell>
          <cell r="E27">
            <v>4.6840049990377781E-3</v>
          </cell>
          <cell r="F27">
            <v>1.9310796590583042E-4</v>
          </cell>
          <cell r="G27">
            <v>1.5698749090140433E-4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2.1785585830089467</v>
          </cell>
          <cell r="F32">
            <v>1.3366845682141129</v>
          </cell>
          <cell r="G32">
            <v>2.4544568268188538</v>
          </cell>
        </row>
      </sheetData>
      <sheetData sheetId="48">
        <row r="53">
          <cell r="B53">
            <v>2.5752280975253332</v>
          </cell>
          <cell r="C53">
            <v>2.6070642997321465</v>
          </cell>
          <cell r="D53">
            <v>2.6227372342496054</v>
          </cell>
          <cell r="E53">
            <v>2.6490702298499968</v>
          </cell>
          <cell r="F53">
            <v>2.3852890869955892</v>
          </cell>
          <cell r="G53">
            <v>2.409114695276819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6.4923395581883536</v>
          </cell>
          <cell r="C55">
            <v>5.971108594232577</v>
          </cell>
          <cell r="D55">
            <v>5.4139548922935044</v>
          </cell>
          <cell r="E55">
            <v>4.5601647274591377</v>
          </cell>
          <cell r="F55">
            <v>3.4189843454239175</v>
          </cell>
          <cell r="G55">
            <v>3.449786138203379</v>
          </cell>
        </row>
        <row r="56">
          <cell r="B56">
            <v>3.7904626583133205</v>
          </cell>
          <cell r="C56">
            <v>3.4233028061555397</v>
          </cell>
          <cell r="D56">
            <v>3.0468145560607098</v>
          </cell>
          <cell r="E56">
            <v>1.688959704133147</v>
          </cell>
          <cell r="F56">
            <v>0.47467164884742602</v>
          </cell>
          <cell r="G56">
            <v>0.18808943910412743</v>
          </cell>
        </row>
        <row r="57">
          <cell r="B57">
            <v>7.1762292492724988</v>
          </cell>
          <cell r="C57">
            <v>6.4843358466269461</v>
          </cell>
          <cell r="D57">
            <v>6.0244203612148191</v>
          </cell>
          <cell r="E57">
            <v>3.1630585875467601</v>
          </cell>
          <cell r="F57">
            <v>1.1357454309553279</v>
          </cell>
          <cell r="G57">
            <v>0.57298765727490286</v>
          </cell>
        </row>
        <row r="58">
          <cell r="B58">
            <v>14.546645456539846</v>
          </cell>
          <cell r="C58">
            <v>14.148662507391421</v>
          </cell>
          <cell r="D58">
            <v>12.350516533159158</v>
          </cell>
          <cell r="E58">
            <v>7.8059750488272748</v>
          </cell>
          <cell r="F58">
            <v>4.5033417711914536</v>
          </cell>
          <cell r="G58">
            <v>0.12644759782579348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-2.3554752610559361E-3</v>
          </cell>
          <cell r="G59">
            <v>-3.1106478435073956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-0.26291403127503116</v>
          </cell>
          <cell r="G60">
            <v>-2.6095061039070688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-1.0261319334674777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-4.9801030103071423E-5</v>
          </cell>
          <cell r="G62">
            <v>-1.2669566393564704E-4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-2.789966887556882E-6</v>
          </cell>
          <cell r="G63">
            <v>-1.4450817954069874E-5</v>
          </cell>
        </row>
        <row r="77">
          <cell r="B77">
            <v>0</v>
          </cell>
          <cell r="C77">
            <v>0</v>
          </cell>
        </row>
        <row r="78">
          <cell r="B78">
            <v>0.26528326542682579</v>
          </cell>
          <cell r="C78">
            <v>0.1252394443340516</v>
          </cell>
        </row>
        <row r="79">
          <cell r="B79">
            <v>0</v>
          </cell>
          <cell r="C79">
            <v>6.6211623988121007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2" sqref="B2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2179</v>
      </c>
      <c r="C2" s="2" t="s">
        <v>7</v>
      </c>
      <c r="D2" s="2" t="s">
        <v>15</v>
      </c>
      <c r="E2" s="2" t="s">
        <v>8</v>
      </c>
      <c r="F2" s="3">
        <f>F3+F8+F11+F12+F16+F17+F18+F19</f>
        <v>299.34497359208609</v>
      </c>
      <c r="G2" s="3">
        <f t="shared" ref="G2:K2" si="0">G3+G8+G11+G12+G16+G17+G18+G19</f>
        <v>291.08921262605492</v>
      </c>
      <c r="H2" s="3">
        <f t="shared" si="0"/>
        <v>388.35798842981649</v>
      </c>
      <c r="I2" s="3">
        <f t="shared" si="0"/>
        <v>456.48868585759067</v>
      </c>
      <c r="J2" s="3">
        <f t="shared" si="0"/>
        <v>470.63872066068359</v>
      </c>
      <c r="K2" s="3">
        <f t="shared" si="0"/>
        <v>497.10020339532286</v>
      </c>
    </row>
    <row r="3" spans="1:11" x14ac:dyDescent="0.25">
      <c r="A3" s="5" t="str">
        <f>A2</f>
        <v>STEM</v>
      </c>
      <c r="B3" s="5" t="str">
        <f t="shared" ref="B3:B66" si="1">B2</f>
        <v>SPS3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44.77000371758907</v>
      </c>
      <c r="G3" s="1">
        <f t="shared" ref="G3:K3" si="3">SUM(G4:G7)</f>
        <v>47.260893315517038</v>
      </c>
      <c r="H3" s="1">
        <f t="shared" si="3"/>
        <v>47.260926637142433</v>
      </c>
      <c r="I3" s="1">
        <f t="shared" si="3"/>
        <v>47.709997996035732</v>
      </c>
      <c r="J3" s="1">
        <f t="shared" si="3"/>
        <v>47.710001924786432</v>
      </c>
      <c r="K3" s="1">
        <f t="shared" si="3"/>
        <v>48.19008834662565</v>
      </c>
    </row>
    <row r="4" spans="1:11" x14ac:dyDescent="0.25">
      <c r="A4" s="5" t="str">
        <f t="shared" ref="A4:A53" si="4">A3</f>
        <v>STEM</v>
      </c>
      <c r="B4" s="5" t="str">
        <f t="shared" si="1"/>
        <v>SPS3</v>
      </c>
      <c r="C4" s="5" t="str">
        <f t="shared" ref="C4:C60" si="5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10.182340855969255</v>
      </c>
      <c r="G4" s="1" cm="1">
        <f t="array" ref="G4">SUMPRODUCT(("RNWWOD1"=[1]OUT_PrimaryEnergyCons!$A$1:$A$1000)*1,[1]OUT_PrimaryEnergyCons!E$1:E$1000)</f>
        <v>11.152950504252237</v>
      </c>
      <c r="H4" s="1" cm="1">
        <f t="array" ref="H4">SUMPRODUCT(("RNWWOD1"=[1]OUT_PrimaryEnergyCons!$A$1:$A$1000)*1,[1]OUT_PrimaryEnergyCons!F$1:F$1000)</f>
        <v>12.608865640444654</v>
      </c>
      <c r="I4" s="1" cm="1">
        <f t="array" ref="I4">SUMPRODUCT(("RNWWOD1"=[1]OUT_PrimaryEnergyCons!$A$1:$A$1000)*1,[1]OUT_PrimaryEnergyCons!G$1:G$1000)</f>
        <v>15.035394083064421</v>
      </c>
      <c r="J4" s="1" cm="1">
        <f t="array" ref="J4">SUMPRODUCT(("RNWWOD1"=[1]OUT_PrimaryEnergyCons!$A$1:$A$1000)*1,[1]OUT_PrimaryEnergyCons!H$1:H$1000)</f>
        <v>17.461918007693519</v>
      </c>
      <c r="K4" s="1" cm="1">
        <f t="array" ref="K4">SUMPRODUCT(("RNWWOD1"=[1]OUT_PrimaryEnergyCons!$A$1:$A$1000)*1,[1]OUT_PrimaryEnergyCons!I$1:I$1000)</f>
        <v>17.461921492286304</v>
      </c>
    </row>
    <row r="5" spans="1:11" x14ac:dyDescent="0.25">
      <c r="A5" s="5" t="str">
        <f t="shared" si="4"/>
        <v>STEM</v>
      </c>
      <c r="B5" s="5" t="str">
        <f t="shared" si="1"/>
        <v>SPS3</v>
      </c>
      <c r="C5" s="5" t="str">
        <f t="shared" si="5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7.4592177142325786</v>
      </c>
      <c r="G5" s="1" cm="1">
        <f t="array" ref="G5">SUMPRODUCT(("RNWWOD2"=[1]OUT_PrimaryEnergyCons!$A$1:$A$1000)*1,[1]OUT_PrimaryEnergyCons!E$1:E$1000)</f>
        <v>8.0030401363863746</v>
      </c>
      <c r="H5" s="1" cm="1">
        <f t="array" ref="H5">SUMPRODUCT(("RNWWOD2"=[1]OUT_PrimaryEnergyCons!$A$1:$A$1000)*1,[1]OUT_PrimaryEnergyCons!F$1:F$1000)</f>
        <v>8.8187744488884672</v>
      </c>
      <c r="I5" s="1" cm="1">
        <f t="array" ref="I5">SUMPRODUCT(("RNWWOD2"=[1]OUT_PrimaryEnergyCons!$A$1:$A$1000)*1,[1]OUT_PrimaryEnergyCons!G$1:G$1000)</f>
        <v>10.17833424096615</v>
      </c>
      <c r="J5" s="1" cm="1">
        <f t="array" ref="J5">SUMPRODUCT(("RNWWOD2"=[1]OUT_PrimaryEnergyCons!$A$1:$A$1000)*1,[1]OUT_PrimaryEnergyCons!H$1:H$1000)</f>
        <v>10.23078696789117</v>
      </c>
      <c r="K5" s="1" cm="1">
        <f t="array" ref="K5">SUMPRODUCT(("RNWWOD2"=[1]OUT_PrimaryEnergyCons!$A$1:$A$1000)*1,[1]OUT_PrimaryEnergyCons!I$1:I$1000)</f>
        <v>7.616573514251237</v>
      </c>
    </row>
    <row r="6" spans="1:11" x14ac:dyDescent="0.25">
      <c r="A6" s="5" t="str">
        <f t="shared" si="4"/>
        <v>STEM</v>
      </c>
      <c r="B6" s="5" t="str">
        <f t="shared" si="1"/>
        <v>SPS3</v>
      </c>
      <c r="C6" s="5" t="str">
        <f t="shared" si="5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2.6225295994194773</v>
      </c>
      <c r="G6" s="1" cm="1">
        <f t="array" ref="G6">SUMPRODUCT(("RNWWOD3"=[1]OUT_PrimaryEnergyCons!$A$1:$A$1000)*1,[1]OUT_PrimaryEnergyCons!E$1:E$1000)</f>
        <v>3.2650034660076281</v>
      </c>
      <c r="H6" s="1" cm="1">
        <f t="array" ref="H6">SUMPRODUCT(("RNWWOD3"=[1]OUT_PrimaryEnergyCons!$A$1:$A$1000)*1,[1]OUT_PrimaryEnergyCons!F$1:F$1000)</f>
        <v>4.2287158301637016</v>
      </c>
      <c r="I6" s="1" cm="1">
        <f t="array" ref="I6">SUMPRODUCT(("RNWWOD3"=[1]OUT_PrimaryEnergyCons!$A$1:$A$1000)*1,[1]OUT_PrimaryEnergyCons!G$1:G$1000)</f>
        <v>5.834906642443821</v>
      </c>
      <c r="J6" s="1" cm="1">
        <f t="array" ref="J6">SUMPRODUCT(("RNWWOD3"=[1]OUT_PrimaryEnergyCons!$A$1:$A$1000)*1,[1]OUT_PrimaryEnergyCons!H$1:H$1000)</f>
        <v>6.3806203135241182</v>
      </c>
      <c r="K6" s="1" cm="1">
        <f t="array" ref="K6">SUMPRODUCT(("RNWWOD3"=[1]OUT_PrimaryEnergyCons!$A$1:$A$1000)*1,[1]OUT_PrimaryEnergyCons!I$1:I$1000)</f>
        <v>4.2596698746395036</v>
      </c>
    </row>
    <row r="7" spans="1:11" x14ac:dyDescent="0.25">
      <c r="A7" s="5" t="str">
        <f t="shared" si="4"/>
        <v>STEM</v>
      </c>
      <c r="B7" s="5" t="str">
        <f t="shared" si="1"/>
        <v>SPS3</v>
      </c>
      <c r="C7" s="5" t="str">
        <f t="shared" si="5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24.50591554796776</v>
      </c>
      <c r="G7" s="1" cm="1">
        <f t="array" ref="G7">SUMPRODUCT(("RNWWOD4"=[1]OUT_PrimaryEnergyCons!$A$1:$A$1000)*1+("RNWWOD5"=[1]OUT_PrimaryEnergyCons!$A$1:$A$1000)*1,[1]OUT_PrimaryEnergyCons!E$1:E$1000)</f>
        <v>24.839899208870797</v>
      </c>
      <c r="H7" s="1" cm="1">
        <f t="array" ref="H7">SUMPRODUCT(("RNWWOD4"=[1]OUT_PrimaryEnergyCons!$A$1:$A$1000)*1+("RNWWOD5"=[1]OUT_PrimaryEnergyCons!$A$1:$A$1000)*1,[1]OUT_PrimaryEnergyCons!F$1:F$1000)</f>
        <v>21.604570717645615</v>
      </c>
      <c r="I7" s="1" cm="1">
        <f t="array" ref="I7">SUMPRODUCT(("RNWWOD4"=[1]OUT_PrimaryEnergyCons!$A$1:$A$1000)*1+("RNWWOD5"=[1]OUT_PrimaryEnergyCons!$A$1:$A$1000)*1,[1]OUT_PrimaryEnergyCons!G$1:G$1000)</f>
        <v>16.661363029561343</v>
      </c>
      <c r="J7" s="1" cm="1">
        <f t="array" ref="J7">SUMPRODUCT(("RNWWOD4"=[1]OUT_PrimaryEnergyCons!$A$1:$A$1000)*1+("RNWWOD5"=[1]OUT_PrimaryEnergyCons!$A$1:$A$1000)*1,[1]OUT_PrimaryEnergyCons!H$1:H$1000)</f>
        <v>13.636676635677624</v>
      </c>
      <c r="K7" s="1" cm="1">
        <f t="array" ref="K7">SUMPRODUCT(("RNWWOD4"=[1]OUT_PrimaryEnergyCons!$A$1:$A$1000)*1+("RNWWOD5"=[1]OUT_PrimaryEnergyCons!$A$1:$A$1000)*1,[1]OUT_PrimaryEnergyCons!I$1:I$1000)</f>
        <v>18.851923465448607</v>
      </c>
    </row>
    <row r="8" spans="1:11" x14ac:dyDescent="0.25">
      <c r="A8" s="5" t="str">
        <f t="shared" si="4"/>
        <v>STEM</v>
      </c>
      <c r="B8" s="5" t="str">
        <f t="shared" si="1"/>
        <v>SPS3</v>
      </c>
      <c r="C8" s="5" t="str">
        <f t="shared" si="5"/>
        <v>CH</v>
      </c>
      <c r="D8" t="s">
        <v>772</v>
      </c>
      <c r="E8" t="s">
        <v>8</v>
      </c>
      <c r="F8" s="1">
        <f>SUM(F9:F10)</f>
        <v>69.392841428761102</v>
      </c>
      <c r="G8" s="1">
        <f t="shared" ref="G8:K8" si="6">SUM(G9:G10)</f>
        <v>69.663483200423059</v>
      </c>
      <c r="H8" s="1">
        <f t="shared" si="6"/>
        <v>69.270571921223336</v>
      </c>
      <c r="I8" s="1">
        <f t="shared" si="6"/>
        <v>72.003819232815161</v>
      </c>
      <c r="J8" s="1">
        <f t="shared" si="6"/>
        <v>71.477120769343912</v>
      </c>
      <c r="K8" s="1">
        <f t="shared" si="6"/>
        <v>77.502289203134424</v>
      </c>
    </row>
    <row r="9" spans="1:11" x14ac:dyDescent="0.25">
      <c r="A9" s="5" t="str">
        <f t="shared" si="4"/>
        <v>STEM</v>
      </c>
      <c r="B9" s="5" t="str">
        <f t="shared" si="1"/>
        <v>SPS3</v>
      </c>
      <c r="C9" s="5" t="str">
        <f t="shared" si="5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35.611737755538719</v>
      </c>
      <c r="G9" s="1" cm="1">
        <f t="array" ref="G9">SUMPRODUCT(("RNNWWST1"=[1]OUT_PrimaryEnergyCons!$A$1:$A$1000)*1,[1]OUT_PrimaryEnergyCons!E$1:E$1000)</f>
        <v>35.882383632232298</v>
      </c>
      <c r="H9" s="1" cm="1">
        <f t="array" ref="H9">SUMPRODUCT(("RNNWWST1"=[1]OUT_PrimaryEnergyCons!$A$1:$A$1000)*1,[1]OUT_PrimaryEnergyCons!F$1:F$1000)</f>
        <v>35.489471931755446</v>
      </c>
      <c r="I9" s="1" cm="1">
        <f t="array" ref="I9">SUMPRODUCT(("RNNWWST1"=[1]OUT_PrimaryEnergyCons!$A$1:$A$1000)*1,[1]OUT_PrimaryEnergyCons!G$1:G$1000)</f>
        <v>35.687239319760643</v>
      </c>
      <c r="J9" s="1" cm="1">
        <f t="array" ref="J9">SUMPRODUCT(("RNNWWST1"=[1]OUT_PrimaryEnergyCons!$A$1:$A$1000)*1,[1]OUT_PrimaryEnergyCons!H$1:H$1000)</f>
        <v>35.159449440546659</v>
      </c>
      <c r="K9" s="1" cm="1">
        <f t="array" ref="K9">SUMPRODUCT(("RNNWWST1"=[1]OUT_PrimaryEnergyCons!$A$1:$A$1000)*1,[1]OUT_PrimaryEnergyCons!I$1:I$1000)</f>
        <v>35.603177939998382</v>
      </c>
    </row>
    <row r="10" spans="1:11" x14ac:dyDescent="0.25">
      <c r="A10" s="5" t="str">
        <f t="shared" si="4"/>
        <v>STEM</v>
      </c>
      <c r="B10" s="5" t="str">
        <f t="shared" si="1"/>
        <v>SPS3</v>
      </c>
      <c r="C10" s="5" t="str">
        <f t="shared" si="5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33.781103673222383</v>
      </c>
      <c r="G10" s="1" cm="1">
        <f t="array" ref="G10">SUMPRODUCT(("RNWWST1"=[1]OUT_PrimaryEnergyCons!$A$1:$A$1000)*1,[1]OUT_PrimaryEnergyCons!E$1:E$1000)</f>
        <v>33.781099568190768</v>
      </c>
      <c r="H10" s="1" cm="1">
        <f t="array" ref="H10">SUMPRODUCT(("RNWWST1"=[1]OUT_PrimaryEnergyCons!$A$1:$A$1000)*1,[1]OUT_PrimaryEnergyCons!F$1:F$1000)</f>
        <v>33.781099989467883</v>
      </c>
      <c r="I10" s="1" cm="1">
        <f t="array" ref="I10">SUMPRODUCT(("RNWWST1"=[1]OUT_PrimaryEnergyCons!$A$1:$A$1000)*1,[1]OUT_PrimaryEnergyCons!G$1:G$1000)</f>
        <v>36.316579913054518</v>
      </c>
      <c r="J10" s="1" cm="1">
        <f t="array" ref="J10">SUMPRODUCT(("RNWWST1"=[1]OUT_PrimaryEnergyCons!$A$1:$A$1000)*1,[1]OUT_PrimaryEnergyCons!H$1:H$1000)</f>
        <v>36.317671328797253</v>
      </c>
      <c r="K10" s="1" cm="1">
        <f t="array" ref="K10">SUMPRODUCT(("RNWWST1"=[1]OUT_PrimaryEnergyCons!$A$1:$A$1000)*1,[1]OUT_PrimaryEnergyCons!I$1:I$1000)</f>
        <v>41.899111263136042</v>
      </c>
    </row>
    <row r="11" spans="1:11" x14ac:dyDescent="0.25">
      <c r="A11" s="5" t="str">
        <f t="shared" si="4"/>
        <v>STEM</v>
      </c>
      <c r="B11" s="5" t="str">
        <f t="shared" si="1"/>
        <v>SPS3</v>
      </c>
      <c r="C11" s="5" t="str">
        <f t="shared" si="5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3.7980906332503261</v>
      </c>
      <c r="G11" s="1" cm="1">
        <f t="array" ref="G11">SUMPRODUCT(("mnr"=[1]OUT_PrimaryEnergyCons!$C$1:$C$1000)*1,[1]OUT_PrimaryEnergyCons!E$1:E$1000)</f>
        <v>9.7111755425622217</v>
      </c>
      <c r="H11" s="1" cm="1">
        <f t="array" ref="H11">SUMPRODUCT(("mnr"=[1]OUT_PrimaryEnergyCons!$C$1:$C$1000)*1,[1]OUT_PrimaryEnergyCons!F$1:F$1000)</f>
        <v>10.246746572481936</v>
      </c>
      <c r="I11" s="1" cm="1">
        <f t="array" ref="I11">SUMPRODUCT(("mnr"=[1]OUT_PrimaryEnergyCons!$C$1:$C$1000)*1,[1]OUT_PrimaryEnergyCons!G$1:G$1000)</f>
        <v>17.106700972075629</v>
      </c>
      <c r="J11" s="1" cm="1">
        <f t="array" ref="J11">SUMPRODUCT(("mnr"=[1]OUT_PrimaryEnergyCons!$C$1:$C$1000)*1,[1]OUT_PrimaryEnergyCons!H$1:H$1000)</f>
        <v>21.58182884639173</v>
      </c>
      <c r="K11" s="1" cm="1">
        <f t="array" ref="K11">SUMPRODUCT(("mnr"=[1]OUT_PrimaryEnergyCons!$C$1:$C$1000)*1,[1]OUT_PrimaryEnergyCons!I$1:I$1000)</f>
        <v>26.999997589766195</v>
      </c>
    </row>
    <row r="12" spans="1:11" x14ac:dyDescent="0.25">
      <c r="A12" s="5" t="str">
        <f t="shared" si="4"/>
        <v>STEM</v>
      </c>
      <c r="B12" s="5" t="str">
        <f t="shared" si="1"/>
        <v>SPS3</v>
      </c>
      <c r="C12" s="5" t="str">
        <f t="shared" si="5"/>
        <v>CH</v>
      </c>
      <c r="D12" t="s">
        <v>774</v>
      </c>
      <c r="E12" t="s">
        <v>8</v>
      </c>
      <c r="F12" s="1">
        <f>SUM(F13:F15)</f>
        <v>149.43048596362641</v>
      </c>
      <c r="G12" s="1">
        <f t="shared" ref="G12:K12" si="7">SUM(G13:G15)</f>
        <v>125.60677798439556</v>
      </c>
      <c r="H12" s="1">
        <f t="shared" si="7"/>
        <v>195.98077643945675</v>
      </c>
      <c r="I12" s="1">
        <f t="shared" si="7"/>
        <v>189.10744200754817</v>
      </c>
      <c r="J12" s="1">
        <f t="shared" si="7"/>
        <v>150.98626883252561</v>
      </c>
      <c r="K12" s="1">
        <f t="shared" si="7"/>
        <v>151.7909733465348</v>
      </c>
    </row>
    <row r="13" spans="1:11" x14ac:dyDescent="0.25">
      <c r="A13" s="5" t="str">
        <f t="shared" si="4"/>
        <v>STEM</v>
      </c>
      <c r="B13" s="5" t="str">
        <f t="shared" si="1"/>
        <v>SPS3</v>
      </c>
      <c r="C13" s="5" t="str">
        <f t="shared" si="5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66.745680037910205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49.798798199551555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68.534871720406599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70.207444882694688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72.378790765899794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74.335877429190887</v>
      </c>
    </row>
    <row r="14" spans="1:11" x14ac:dyDescent="0.25">
      <c r="A14" s="5" t="str">
        <f t="shared" si="4"/>
        <v>STEM</v>
      </c>
      <c r="B14" s="5" t="str">
        <f t="shared" si="1"/>
        <v>SPS3</v>
      </c>
      <c r="C14" s="5" t="str">
        <f t="shared" si="5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66.632402450035997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55.764000771154585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65.550470630124664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64.491829575698375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62.323588762492044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60.977329968934797</v>
      </c>
    </row>
    <row r="15" spans="1:11" x14ac:dyDescent="0.25">
      <c r="A15" s="5" t="str">
        <f t="shared" si="4"/>
        <v>STEM</v>
      </c>
      <c r="B15" s="5" t="str">
        <f t="shared" si="1"/>
        <v>SPS3</v>
      </c>
      <c r="C15" s="5" t="str">
        <f t="shared" si="5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16.052403475680226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20.04397901368942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61.895434088925462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54.408167549155124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16.283889304133776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16.477765948409125</v>
      </c>
    </row>
    <row r="16" spans="1:11" x14ac:dyDescent="0.25">
      <c r="A16" s="5" t="str">
        <f t="shared" si="4"/>
        <v>STEM</v>
      </c>
      <c r="B16" s="5" t="str">
        <f t="shared" si="1"/>
        <v>SPS3</v>
      </c>
      <c r="C16" s="5" t="str">
        <f t="shared" si="5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12.556464090735391</v>
      </c>
      <c r="G16" s="1" cm="1">
        <f t="array" ref="G16">SUMPRODUCT(ISNUMBER(SEARCH("SOL",[1]OUT_PrimaryEnergyCons!$C$1:$C$1000))*1,[1]OUT_PrimaryEnergyCons!E$1:E$1000)</f>
        <v>16.523486443896122</v>
      </c>
      <c r="H16" s="1" cm="1">
        <f t="array" ref="H16">SUMPRODUCT(ISNUMBER(SEARCH("SOL",[1]OUT_PrimaryEnergyCons!$C$1:$C$1000))*1,[1]OUT_PrimaryEnergyCons!F$1:F$1000)</f>
        <v>30.858040072300597</v>
      </c>
      <c r="I16" s="1" cm="1">
        <f t="array" ref="I16">SUMPRODUCT(ISNUMBER(SEARCH("SOL",[1]OUT_PrimaryEnergyCons!$C$1:$C$1000))*1,[1]OUT_PrimaryEnergyCons!G$1:G$1000)</f>
        <v>66.668628432263418</v>
      </c>
      <c r="J16" s="1" cm="1">
        <f t="array" ref="J16">SUMPRODUCT(ISNUMBER(SEARCH("SOL",[1]OUT_PrimaryEnergyCons!$C$1:$C$1000))*1,[1]OUT_PrimaryEnergyCons!H$1:H$1000)</f>
        <v>83.069262292655594</v>
      </c>
      <c r="K16" s="1" cm="1">
        <f t="array" ref="K16">SUMPRODUCT(ISNUMBER(SEARCH("SOL",[1]OUT_PrimaryEnergyCons!$C$1:$C$1000))*1,[1]OUT_PrimaryEnergyCons!I$1:I$1000)</f>
        <v>94.311255181394671</v>
      </c>
    </row>
    <row r="17" spans="1:18" x14ac:dyDescent="0.25">
      <c r="A17" s="5" t="str">
        <f t="shared" si="4"/>
        <v>STEM</v>
      </c>
      <c r="B17" s="5" t="str">
        <f t="shared" si="1"/>
        <v>SPS3</v>
      </c>
      <c r="C17" s="5" t="str">
        <f t="shared" si="5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0.52402664144412414</v>
      </c>
      <c r="G17" s="1" cm="1">
        <f t="array" ref="G17">SUMPRODUCT(ISNUMBER(SEARCH("wnd",[1]OUT_PrimaryEnergyCons!$C$1:$C$1000))*1,[1]OUT_PrimaryEnergyCons!E$1:E$1000)</f>
        <v>0.54529307515212488</v>
      </c>
      <c r="H17" s="1" cm="1">
        <f t="array" ref="H17">SUMPRODUCT(ISNUMBER(SEARCH("wnd",[1]OUT_PrimaryEnergyCons!$C$1:$C$1000))*1,[1]OUT_PrimaryEnergyCons!F$1:F$1000)</f>
        <v>0.50324644736262492</v>
      </c>
      <c r="I17" s="1" cm="1">
        <f t="array" ref="I17">SUMPRODUCT(ISNUMBER(SEARCH("wnd",[1]OUT_PrimaryEnergyCons!$C$1:$C$1000))*1,[1]OUT_PrimaryEnergyCons!G$1:G$1000)</f>
        <v>1.0882448589246578</v>
      </c>
      <c r="J17" s="1" cm="1">
        <f t="array" ref="J17">SUMPRODUCT(ISNUMBER(SEARCH("wnd",[1]OUT_PrimaryEnergyCons!$C$1:$C$1000))*1,[1]OUT_PrimaryEnergyCons!H$1:H$1000)</f>
        <v>3.0600264351057045</v>
      </c>
      <c r="K17" s="1" cm="1">
        <f t="array" ref="K17">SUMPRODUCT(ISNUMBER(SEARCH("wnd",[1]OUT_PrimaryEnergyCons!$C$1:$C$1000))*1,[1]OUT_PrimaryEnergyCons!I$1:I$1000)</f>
        <v>6.1200135079164868</v>
      </c>
    </row>
    <row r="18" spans="1:18" x14ac:dyDescent="0.25">
      <c r="A18" s="5" t="str">
        <f t="shared" si="4"/>
        <v>STEM</v>
      </c>
      <c r="B18" s="5" t="str">
        <f t="shared" si="1"/>
        <v>SPS3</v>
      </c>
      <c r="C18" s="5" t="str">
        <f t="shared" si="5"/>
        <v>CH</v>
      </c>
      <c r="D18" t="s">
        <v>777</v>
      </c>
      <c r="E18" t="s">
        <v>8</v>
      </c>
      <c r="F18" s="1">
        <f>[1]Overview!B$9-F19</f>
        <v>18.873061116679573</v>
      </c>
      <c r="G18" s="1">
        <f>[1]Overview!C$9-G19</f>
        <v>21.778103064108812</v>
      </c>
      <c r="H18" s="1">
        <f>[1]Overview!D$9-H19</f>
        <v>34.237680339848779</v>
      </c>
      <c r="I18" s="1">
        <f>[1]Overview!E$9-I19</f>
        <v>62.803852357927866</v>
      </c>
      <c r="J18" s="1">
        <f>[1]Overview!F$9-J19</f>
        <v>92.752958467181557</v>
      </c>
      <c r="K18" s="1">
        <f>[1]Overview!G$9-K19</f>
        <v>92.184215134033636</v>
      </c>
    </row>
    <row r="19" spans="1:18" x14ac:dyDescent="0.25">
      <c r="A19" s="5" t="str">
        <f t="shared" si="4"/>
        <v>STEM</v>
      </c>
      <c r="B19" s="5" t="str">
        <f t="shared" si="1"/>
        <v>SPS3</v>
      </c>
      <c r="C19" s="5" t="str">
        <f t="shared" si="5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1.2530926930719329E-3</v>
      </c>
      <c r="K19" s="1">
        <f>+[1]Overview!G$28</f>
        <v>1.3710859170397679E-3</v>
      </c>
    </row>
    <row r="20" spans="1:18" x14ac:dyDescent="0.25">
      <c r="A20" s="9" t="str">
        <f t="shared" si="4"/>
        <v>STEM</v>
      </c>
      <c r="B20" s="9" t="str">
        <f t="shared" si="1"/>
        <v>SPS3</v>
      </c>
      <c r="C20" s="2" t="str">
        <f t="shared" si="5"/>
        <v>CH</v>
      </c>
      <c r="D20" s="2" t="s">
        <v>19</v>
      </c>
      <c r="E20" s="2" t="s">
        <v>8</v>
      </c>
      <c r="F20" s="3">
        <f t="shared" ref="F20:K20" si="8">SUM(F21:F22,F39,F48:F49,F54)</f>
        <v>779.75636364544664</v>
      </c>
      <c r="G20" s="3">
        <f t="shared" si="8"/>
        <v>704.82145893781239</v>
      </c>
      <c r="H20" s="3">
        <f t="shared" si="8"/>
        <v>620.32544956132472</v>
      </c>
      <c r="I20" s="3">
        <f t="shared" si="8"/>
        <v>452.31040708365754</v>
      </c>
      <c r="J20" s="3">
        <f t="shared" si="8"/>
        <v>233.70888336872773</v>
      </c>
      <c r="K20" s="3">
        <f t="shared" si="8"/>
        <v>77.352823059003001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1"/>
        <v>SPS3</v>
      </c>
      <c r="C21" s="5" t="str">
        <f t="shared" si="5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3.6600051305331891</v>
      </c>
      <c r="G21" s="1" cm="1">
        <f t="array" ref="G21">SUMPRODUCT(("COA"=[1]OUT_PrimaryEnergyCons!$C$4:$C$10000)*1,[1]OUT_PrimaryEnergyCons!E$4:E$10000)</f>
        <v>3.564717123139777</v>
      </c>
      <c r="H21" s="1" cm="1">
        <f t="array" ref="H21">SUMPRODUCT(("COA"=[1]OUT_PrimaryEnergyCons!$C$4:$C$10000)*1,[1]OUT_PrimaryEnergyCons!F$4:F$10000)</f>
        <v>2.8003703867176676E-2</v>
      </c>
      <c r="I21" s="1" cm="1">
        <f t="array" ref="I21">SUMPRODUCT(("COA"=[1]OUT_PrimaryEnergyCons!$C$4:$C$10000)*1,[1]OUT_PrimaryEnergyCons!G$4:G$10000)</f>
        <v>2.9402337953044606</v>
      </c>
      <c r="J21" s="1" cm="1">
        <f t="array" ref="J21">SUMPRODUCT(("COA"=[1]OUT_PrimaryEnergyCons!$C$4:$C$10000)*1,[1]OUT_PrimaryEnergyCons!H$4:H$10000)</f>
        <v>2.8655744040051055E-4</v>
      </c>
      <c r="K21" s="1" cm="1">
        <f t="array" ref="K21">SUMPRODUCT(("COA"=[1]OUT_PrimaryEnergyCons!$C$4:$C$10000)*1,[1]OUT_PrimaryEnergyCons!I$4:I$10000)</f>
        <v>2.1589792879176303E-4</v>
      </c>
    </row>
    <row r="22" spans="1:18" x14ac:dyDescent="0.25">
      <c r="A22" s="5" t="str">
        <f t="shared" si="4"/>
        <v>STEM</v>
      </c>
      <c r="B22" s="5" t="str">
        <f t="shared" si="1"/>
        <v>SPS3</v>
      </c>
      <c r="C22" s="5" t="str">
        <f t="shared" si="5"/>
        <v>CH</v>
      </c>
      <c r="D22" t="s">
        <v>780</v>
      </c>
      <c r="E22" t="s">
        <v>8</v>
      </c>
      <c r="F22" s="1">
        <f>F23+F29</f>
        <v>310.89247157791431</v>
      </c>
      <c r="G22" s="1">
        <f t="shared" ref="G22:K22" si="9">G23+G29</f>
        <v>290.70428718262747</v>
      </c>
      <c r="H22" s="1">
        <f t="shared" si="9"/>
        <v>255.23703031622904</v>
      </c>
      <c r="I22" s="1">
        <f t="shared" si="9"/>
        <v>154.00493896509826</v>
      </c>
      <c r="J22" s="1">
        <f t="shared" si="9"/>
        <v>79.78787743380137</v>
      </c>
      <c r="K22" s="1">
        <f t="shared" si="9"/>
        <v>35.397558523123038</v>
      </c>
    </row>
    <row r="23" spans="1:18" x14ac:dyDescent="0.25">
      <c r="A23" s="5" t="str">
        <f t="shared" ref="A23" si="10">A22</f>
        <v>STEM</v>
      </c>
      <c r="B23" s="5" t="str">
        <f t="shared" si="1"/>
        <v>SPS3</v>
      </c>
      <c r="C23" s="5" t="str">
        <f t="shared" ref="C23" si="11">C22</f>
        <v>CH</v>
      </c>
      <c r="D23" t="s">
        <v>781</v>
      </c>
      <c r="E23" t="s">
        <v>8</v>
      </c>
      <c r="F23" s="1">
        <f>SUM(F24:F28)</f>
        <v>303.83323837629689</v>
      </c>
      <c r="G23" s="1">
        <f t="shared" ref="G23:K23" si="12">SUM(G24:G28)</f>
        <v>283.33604801729609</v>
      </c>
      <c r="H23" s="1">
        <f t="shared" si="12"/>
        <v>249.0193612817832</v>
      </c>
      <c r="I23" s="1">
        <f t="shared" si="12"/>
        <v>146.94957236979539</v>
      </c>
      <c r="J23" s="1">
        <f t="shared" si="12"/>
        <v>66.090007801643395</v>
      </c>
      <c r="K23" s="1">
        <f t="shared" si="12"/>
        <v>0</v>
      </c>
    </row>
    <row r="24" spans="1:18" x14ac:dyDescent="0.25">
      <c r="A24" s="5" t="str">
        <f>A22</f>
        <v>STEM</v>
      </c>
      <c r="B24" s="5" t="str">
        <f t="shared" si="1"/>
        <v>SPS3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101.74882372142358</v>
      </c>
      <c r="G24" s="1" cm="1">
        <f t="array" ref="G24">SUMPRODUCT(("LFO"=[1]OUT_PrimaryEnergyCons!$C$4:$C$10000)*1,[1]OUT_PrimaryEnergyCons!E$4:E$10000)</f>
        <v>90.977412950447899</v>
      </c>
      <c r="H24" s="1" cm="1">
        <f t="array" ref="H24">SUMPRODUCT(("LFO"=[1]OUT_PrimaryEnergyCons!$C$4:$C$10000)*1,[1]OUT_PrimaryEnergyCons!F$4:F$10000)</f>
        <v>81.188142391544474</v>
      </c>
      <c r="I24" s="1" cm="1">
        <f t="array" ref="I24">SUMPRODUCT(("LFO"=[1]OUT_PrimaryEnergyCons!$C$4:$C$10000)*1,[1]OUT_PrimaryEnergyCons!G$4:G$10000)</f>
        <v>40.790094701003873</v>
      </c>
      <c r="J24" s="1" cm="1">
        <f t="array" ref="J24">SUMPRODUCT(("LFO"=[1]OUT_PrimaryEnergyCons!$C$4:$C$10000)*1,[1]OUT_PrimaryEnergyCons!H$4:H$10000)</f>
        <v>8.3830738261320779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si="1"/>
        <v>SPS3</v>
      </c>
      <c r="C25" s="5" t="str">
        <f t="shared" si="5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2.7763707016448524</v>
      </c>
      <c r="G25" s="1" cm="1">
        <f t="array" ref="G25">SUMPRODUCT(("HFO"=[1]OUT_PrimaryEnergyCons!$C$4:$C$10000)*1,[1]OUT_PrimaryEnergyCons!E$4:E$10000)</f>
        <v>1.081085768202379E-3</v>
      </c>
      <c r="H25" s="1" cm="1">
        <f t="array" ref="H25">SUMPRODUCT(("HFO"=[1]OUT_PrimaryEnergyCons!$C$4:$C$10000)*1,[1]OUT_PrimaryEnergyCons!F$4:F$10000)</f>
        <v>1.4178272934745203E-3</v>
      </c>
      <c r="I25" s="1" cm="1">
        <f t="array" ref="I25">SUMPRODUCT(("HFO"=[1]OUT_PrimaryEnergyCons!$C$4:$C$10000)*1,[1]OUT_PrimaryEnergyCons!G$4:G$10000)</f>
        <v>2.3911578706083091E-3</v>
      </c>
      <c r="J25" s="1" cm="1">
        <f t="array" ref="J25">SUMPRODUCT(("HFO"=[1]OUT_PrimaryEnergyCons!$C$4:$C$10000)*1,[1]OUT_PrimaryEnergyCons!H$4:H$10000)</f>
        <v>3.5988342891911493E-4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1"/>
        <v>SPS3</v>
      </c>
      <c r="C26" s="5" t="str">
        <f t="shared" si="5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118.18558363065856</v>
      </c>
      <c r="G26" s="1" cm="1">
        <f t="array" ref="G26">SUMPRODUCT(("DSL"=[1]OUT_PrimaryEnergyCons!$C$4:$C$10000)*1,[1]OUT_PrimaryEnergyCons!E$4:E$10000)</f>
        <v>110.97902211607882</v>
      </c>
      <c r="H26" s="1" cm="1">
        <f t="array" ref="H26">SUMPRODUCT(("DSL"=[1]OUT_PrimaryEnergyCons!$C$4:$C$10000)*1,[1]OUT_PrimaryEnergyCons!F$4:F$10000)</f>
        <v>90.512536075592266</v>
      </c>
      <c r="I26" s="1" cm="1">
        <f t="array" ref="I26">SUMPRODUCT(("DSL"=[1]OUT_PrimaryEnergyCons!$C$4:$C$10000)*1,[1]OUT_PrimaryEnergyCons!G$4:G$10000)</f>
        <v>55.297438038122571</v>
      </c>
      <c r="J26" s="1" cm="1">
        <f t="array" ref="J26">SUMPRODUCT(("DSL"=[1]OUT_PrimaryEnergyCons!$C$4:$C$10000)*1,[1]OUT_PrimaryEnergyCons!H$4:H$10000)</f>
        <v>40.885319735837093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si="1"/>
        <v>SPS3</v>
      </c>
      <c r="C27" s="5" t="str">
        <f t="shared" si="5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80.013074956190735</v>
      </c>
      <c r="G27" s="1" cm="1">
        <f t="array" ref="G27">SUMPRODUCT(("GSL"=[1]OUT_PrimaryEnergyCons!$C$4:$C$10000)*1,[1]OUT_PrimaryEnergyCons!E$4:E$10000)</f>
        <v>79.973316981447425</v>
      </c>
      <c r="H27" s="1" cm="1">
        <f t="array" ref="H27">SUMPRODUCT(("GSL"=[1]OUT_PrimaryEnergyCons!$C$4:$C$10000)*1,[1]OUT_PrimaryEnergyCons!F$4:F$10000)</f>
        <v>75.468305828037288</v>
      </c>
      <c r="I27" s="1" cm="1">
        <f t="array" ref="I27">SUMPRODUCT(("GSL"=[1]OUT_PrimaryEnergyCons!$C$4:$C$10000)*1,[1]OUT_PrimaryEnergyCons!G$4:G$10000)</f>
        <v>48.866921378535025</v>
      </c>
      <c r="J27" s="1" cm="1">
        <f t="array" ref="J27">SUMPRODUCT(("GSL"=[1]OUT_PrimaryEnergyCons!$C$4:$C$10000)*1,[1]OUT_PrimaryEnergyCons!H$4:H$10000)</f>
        <v>15.470620777683402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3">A27</f>
        <v>STEM</v>
      </c>
      <c r="B28" s="5" t="str">
        <f t="shared" si="1"/>
        <v>SPS3</v>
      </c>
      <c r="C28" s="5" t="str">
        <f t="shared" ref="C28" si="14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1.9927270942632898</v>
      </c>
      <c r="J28" s="1" cm="1">
        <f t="array" ref="J28">SUMPRODUCT(("KER"=[1]OUT_PrimaryEnergyCons!$C$4:$C$10000)*1,[1]OUT_PrimaryEnergyCons!H$4:H$10000)</f>
        <v>1.3506335785619019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t="shared" si="1"/>
        <v>SPS3</v>
      </c>
      <c r="C29" s="5" t="str">
        <f>C48</f>
        <v>CH</v>
      </c>
      <c r="D29" t="s">
        <v>782</v>
      </c>
      <c r="E29" t="s">
        <v>8</v>
      </c>
      <c r="F29" s="1">
        <f>SUM(F30:F31)</f>
        <v>7.0592332016174133</v>
      </c>
      <c r="G29" s="1">
        <f t="shared" ref="G29:K29" si="15">SUM(G30:G31)</f>
        <v>7.3682391653313584</v>
      </c>
      <c r="H29" s="1">
        <f t="shared" si="15"/>
        <v>6.217669034445839</v>
      </c>
      <c r="I29" s="1">
        <f t="shared" si="15"/>
        <v>7.0553665953028792</v>
      </c>
      <c r="J29" s="1">
        <f t="shared" si="15"/>
        <v>13.697869632157975</v>
      </c>
      <c r="K29" s="1">
        <f t="shared" si="15"/>
        <v>35.397558523123038</v>
      </c>
    </row>
    <row r="30" spans="1:18" x14ac:dyDescent="0.25">
      <c r="A30" s="5" t="str">
        <f>A35</f>
        <v>STEM</v>
      </c>
      <c r="B30" s="5" t="str">
        <f t="shared" si="1"/>
        <v>SPS3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2.6250959484475453</v>
      </c>
      <c r="G30" s="1" cm="1">
        <f t="array" ref="G30">SUMPRODUCT(ISNUMBER(SEARCH("IMPBDS",[1]OUT_SyntheticFuels!$C$4:$C$1000))*1,("Var_Fout"=[1]OUT_SyntheticFuels!$B$4:$B$1000)*1,[1]OUT_SyntheticFuels!F$4:F$1000)</f>
        <v>2.7371352315350546</v>
      </c>
      <c r="H30" s="1" cm="1">
        <f t="array" ref="H30">SUMPRODUCT(ISNUMBER(SEARCH("IMPBDS",[1]OUT_SyntheticFuels!$C$4:$C$1000))*1,("Var_Fout"=[1]OUT_SyntheticFuels!$B$4:$B$1000)*1,[1]OUT_SyntheticFuels!G$4:G$1000)</f>
        <v>3.0162113077627284</v>
      </c>
      <c r="I30" s="1" cm="1">
        <f t="array" ref="I30">SUMPRODUCT(ISNUMBER(SEARCH("IMPBDS",[1]OUT_SyntheticFuels!$C$4:$C$1000))*1,("Var_Fout"=[1]OUT_SyntheticFuels!$B$4:$B$1000)*1,[1]OUT_SyntheticFuels!H$4:H$1000)</f>
        <v>3.0163325451230847</v>
      </c>
      <c r="J30" s="1" cm="1">
        <f t="array" ref="J30">SUMPRODUCT(ISNUMBER(SEARCH("IMPBDS",[1]OUT_SyntheticFuels!$C$4:$C$1000))*1,("Var_Fout"=[1]OUT_SyntheticFuels!$B$4:$B$1000)*1,[1]OUT_SyntheticFuels!I$4:I$1000)</f>
        <v>5.1672793530427183</v>
      </c>
      <c r="K30" s="1" cm="1">
        <f t="array" ref="K30">SUMPRODUCT(ISNUMBER(SEARCH("IMPBDS",[1]OUT_SyntheticFuels!$C$4:$C$1000))*1,("Var_Fout"=[1]OUT_SyntheticFuels!$B$4:$B$1000)*1,[1]OUT_SyntheticFuels!J$4:J$1000)</f>
        <v>28.614090595816219</v>
      </c>
    </row>
    <row r="31" spans="1:18" x14ac:dyDescent="0.25">
      <c r="A31" s="5" t="str">
        <f>A30</f>
        <v>STEM</v>
      </c>
      <c r="B31" s="5" t="str">
        <f t="shared" si="1"/>
        <v>SPS3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4.434137253169868</v>
      </c>
      <c r="G31" s="1" cm="1">
        <f t="array" ref="G31">SUMPRODUCT(ISNUMBER(SEARCH("IMPeth",[1]OUT_SyntheticFuels!$C$4:$C$1000))*1,("Var_Fout"=[1]OUT_SyntheticFuels!$B$4:$B$1000)*1,[1]OUT_SyntheticFuels!F$4:F$1000)</f>
        <v>4.6311039337963038</v>
      </c>
      <c r="H31" s="1" cm="1">
        <f t="array" ref="H31">SUMPRODUCT(ISNUMBER(SEARCH("IMPeth",[1]OUT_SyntheticFuels!$C$4:$C$1000))*1,("Var_Fout"=[1]OUT_SyntheticFuels!$B$4:$B$1000)*1,[1]OUT_SyntheticFuels!G$4:G$1000)</f>
        <v>3.2014577266831106</v>
      </c>
      <c r="I31" s="1" cm="1">
        <f t="array" ref="I31">SUMPRODUCT(ISNUMBER(SEARCH("IMPeth",[1]OUT_SyntheticFuels!$C$4:$C$1000))*1,("Var_Fout"=[1]OUT_SyntheticFuels!$B$4:$B$1000)*1,[1]OUT_SyntheticFuels!H$4:H$1000)</f>
        <v>4.0390340501797946</v>
      </c>
      <c r="J31" s="1" cm="1">
        <f t="array" ref="J31">SUMPRODUCT(ISNUMBER(SEARCH("IMPeth",[1]OUT_SyntheticFuels!$C$4:$C$1000))*1,("Var_Fout"=[1]OUT_SyntheticFuels!$B$4:$B$1000)*1,[1]OUT_SyntheticFuels!I$4:I$1000)</f>
        <v>8.5305902791152572</v>
      </c>
      <c r="K31" s="1" cm="1">
        <f t="array" ref="K31">SUMPRODUCT(ISNUMBER(SEARCH("IMPeth",[1]OUT_SyntheticFuels!$C$4:$C$1000))*1,("Var_Fout"=[1]OUT_SyntheticFuels!$B$4:$B$1000)*1,[1]OUT_SyntheticFuels!J$4:J$1000)</f>
        <v>6.7834679273068179</v>
      </c>
    </row>
    <row r="32" spans="1:18" x14ac:dyDescent="0.25">
      <c r="A32" s="5" t="str">
        <f>A29</f>
        <v>STEM</v>
      </c>
      <c r="B32" s="5" t="str">
        <f t="shared" si="1"/>
        <v>SPS3</v>
      </c>
      <c r="C32" s="5" t="str">
        <f>C29</f>
        <v>CH</v>
      </c>
      <c r="D32" t="s">
        <v>532</v>
      </c>
      <c r="E32" t="s">
        <v>8</v>
      </c>
      <c r="F32" s="1">
        <f t="shared" ref="F32:K32" si="16">SUM(F33:F34)</f>
        <v>7.0592332016174133</v>
      </c>
      <c r="G32" s="1">
        <f t="shared" si="16"/>
        <v>7.3682391653313584</v>
      </c>
      <c r="H32" s="1">
        <f t="shared" si="16"/>
        <v>6.217669034445839</v>
      </c>
      <c r="I32" s="1">
        <f t="shared" si="16"/>
        <v>7.0553665953028792</v>
      </c>
      <c r="J32" s="1">
        <f t="shared" si="16"/>
        <v>7.6474364789193885</v>
      </c>
      <c r="K32" s="1">
        <f t="shared" si="16"/>
        <v>11.950747280349535</v>
      </c>
    </row>
    <row r="33" spans="1:11" x14ac:dyDescent="0.25">
      <c r="A33" s="5" t="str">
        <f>A31</f>
        <v>STEM</v>
      </c>
      <c r="B33" s="5" t="str">
        <f t="shared" si="1"/>
        <v>SPS3</v>
      </c>
      <c r="C33" s="5" t="str">
        <f>C31</f>
        <v>CH</v>
      </c>
      <c r="D33" t="s">
        <v>533</v>
      </c>
      <c r="E33" t="s">
        <v>8</v>
      </c>
      <c r="F33" s="1">
        <f t="shared" ref="F33:I34" si="17">F30</f>
        <v>2.6250959484475453</v>
      </c>
      <c r="G33" s="1">
        <f t="shared" si="17"/>
        <v>2.7371352315350546</v>
      </c>
      <c r="H33" s="1">
        <f t="shared" si="17"/>
        <v>3.0162113077627284</v>
      </c>
      <c r="I33" s="1">
        <f t="shared" si="17"/>
        <v>3.0163325451230847</v>
      </c>
      <c r="J33" s="1">
        <f>IF(J30-MAX(F30:I30)&lt;0,J30,MAX(F30:I30))</f>
        <v>3.0163325451230847</v>
      </c>
      <c r="K33" s="1">
        <f>IF(K30-MAX(F30:J30)&lt;0,K30,MAX(F30:J30))</f>
        <v>5.1672793530427183</v>
      </c>
    </row>
    <row r="34" spans="1:11" x14ac:dyDescent="0.25">
      <c r="A34" s="5" t="str">
        <f>A33</f>
        <v>STEM</v>
      </c>
      <c r="B34" s="5" t="str">
        <f t="shared" si="1"/>
        <v>SPS3</v>
      </c>
      <c r="C34" s="5" t="str">
        <f>C33</f>
        <v>CH</v>
      </c>
      <c r="D34" t="s">
        <v>534</v>
      </c>
      <c r="E34" t="s">
        <v>8</v>
      </c>
      <c r="F34" s="1">
        <f t="shared" si="17"/>
        <v>4.434137253169868</v>
      </c>
      <c r="G34" s="1">
        <f t="shared" si="17"/>
        <v>4.6311039337963038</v>
      </c>
      <c r="H34" s="1">
        <f t="shared" si="17"/>
        <v>3.2014577266831106</v>
      </c>
      <c r="I34" s="1">
        <f t="shared" si="17"/>
        <v>4.0390340501797946</v>
      </c>
      <c r="J34" s="1">
        <f>IF(J31-MAX(F31:I31)&lt;0,J31,MAX(F31:I31))</f>
        <v>4.6311039337963038</v>
      </c>
      <c r="K34" s="1">
        <f>IF(K31-MAX(F31:J31)&lt;0,K31,MAX(F31:J31))</f>
        <v>6.7834679273068179</v>
      </c>
    </row>
    <row r="35" spans="1:11" x14ac:dyDescent="0.25">
      <c r="A35" s="5" t="str">
        <f>A32</f>
        <v>STEM</v>
      </c>
      <c r="B35" s="5" t="str">
        <f t="shared" si="1"/>
        <v>SPS3</v>
      </c>
      <c r="C35" s="5" t="str">
        <f>C32</f>
        <v>CH</v>
      </c>
      <c r="D35" t="s">
        <v>783</v>
      </c>
      <c r="E35" t="s">
        <v>8</v>
      </c>
      <c r="F35" s="1">
        <f t="shared" ref="F35:K35" si="18">SUM(F36:F37)</f>
        <v>0</v>
      </c>
      <c r="G35" s="1">
        <f t="shared" si="18"/>
        <v>0</v>
      </c>
      <c r="H35" s="1">
        <f t="shared" si="18"/>
        <v>0</v>
      </c>
      <c r="I35" s="1">
        <f t="shared" si="18"/>
        <v>0</v>
      </c>
      <c r="J35" s="1">
        <f t="shared" si="18"/>
        <v>6.0504331532385871</v>
      </c>
      <c r="K35" s="1">
        <f t="shared" si="18"/>
        <v>23.446811242773499</v>
      </c>
    </row>
    <row r="36" spans="1:11" x14ac:dyDescent="0.25">
      <c r="A36" s="5" t="str">
        <f>A34</f>
        <v>STEM</v>
      </c>
      <c r="B36" s="5" t="str">
        <f t="shared" si="1"/>
        <v>SPS3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2.1509468079196337</v>
      </c>
      <c r="K36" s="1">
        <f>K30-K33</f>
        <v>23.446811242773499</v>
      </c>
    </row>
    <row r="37" spans="1:11" x14ac:dyDescent="0.25">
      <c r="A37" s="5" t="str">
        <f>A36</f>
        <v>STEM</v>
      </c>
      <c r="B37" s="5" t="str">
        <f t="shared" si="1"/>
        <v>SPS3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3.8994863453189534</v>
      </c>
      <c r="K37" s="1">
        <f>K31-K34</f>
        <v>0</v>
      </c>
    </row>
    <row r="38" spans="1:11" x14ac:dyDescent="0.25">
      <c r="A38" s="5"/>
      <c r="B38" s="5" t="str">
        <f t="shared" si="1"/>
        <v>SPS3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19">A28</f>
        <v>STEM</v>
      </c>
      <c r="B39" s="5" t="str">
        <f t="shared" si="1"/>
        <v>SPS3</v>
      </c>
      <c r="C39" s="5" t="str">
        <f t="shared" si="19"/>
        <v>CH</v>
      </c>
      <c r="D39" t="s">
        <v>784</v>
      </c>
      <c r="E39" t="s">
        <v>8</v>
      </c>
      <c r="F39" s="1">
        <f>F40+F43</f>
        <v>117.09567308576945</v>
      </c>
      <c r="G39" s="1">
        <f t="shared" ref="G39:K39" si="20">G40+G43</f>
        <v>106.97859503127495</v>
      </c>
      <c r="H39" s="1">
        <f t="shared" si="20"/>
        <v>102.57792359644914</v>
      </c>
      <c r="I39" s="1">
        <f t="shared" si="20"/>
        <v>59.899487115636774</v>
      </c>
      <c r="J39" s="1">
        <f t="shared" si="20"/>
        <v>28.512188293599049</v>
      </c>
      <c r="K39" s="1">
        <f t="shared" si="20"/>
        <v>24.366079793028383</v>
      </c>
    </row>
    <row r="40" spans="1:11" x14ac:dyDescent="0.25">
      <c r="A40" s="5" t="str">
        <f t="shared" si="19"/>
        <v>STEM</v>
      </c>
      <c r="B40" s="5" t="str">
        <f t="shared" si="1"/>
        <v>SPS3</v>
      </c>
      <c r="C40" s="5" t="str">
        <f t="shared" si="19"/>
        <v>CH</v>
      </c>
      <c r="D40" t="s">
        <v>549</v>
      </c>
      <c r="E40" t="s">
        <v>8</v>
      </c>
      <c r="F40" s="1">
        <f>F41+F42</f>
        <v>117.09567308576945</v>
      </c>
      <c r="G40" s="1">
        <f t="shared" ref="G40:K40" si="21">G41+G42</f>
        <v>106.71999963060976</v>
      </c>
      <c r="H40" s="1">
        <f t="shared" si="21"/>
        <v>101.73567034087385</v>
      </c>
      <c r="I40" s="1">
        <f t="shared" si="21"/>
        <v>59.895082284486776</v>
      </c>
      <c r="J40" s="1">
        <f t="shared" si="21"/>
        <v>25.855212437463301</v>
      </c>
      <c r="K40" s="1">
        <f t="shared" si="21"/>
        <v>22.230900480385369</v>
      </c>
    </row>
    <row r="41" spans="1:11" x14ac:dyDescent="0.25">
      <c r="A41" s="5" t="str">
        <f>A27</f>
        <v>STEM</v>
      </c>
      <c r="B41" s="5" t="str">
        <f t="shared" si="1"/>
        <v>SPS3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117.09567308576945</v>
      </c>
      <c r="G41" s="1" cm="1">
        <f t="array" ref="G41">SUMPRODUCT(("NGA"=[1]OUT_PrimaryEnergyCons!$C$4:$C$10000)*1,[1]OUT_PrimaryEnergyCons!E$4:E$10000)</f>
        <v>106.71999963060976</v>
      </c>
      <c r="H41" s="1" cm="1">
        <f t="array" ref="H41">SUMPRODUCT(("NGA"=[1]OUT_PrimaryEnergyCons!$C$4:$C$10000)*1,[1]OUT_PrimaryEnergyCons!F$4:F$10000)</f>
        <v>101.73567034087385</v>
      </c>
      <c r="I41" s="1" cm="1">
        <f t="array" ref="I41">SUMPRODUCT(("NGA"=[1]OUT_PrimaryEnergyCons!$C$4:$C$10000)*1,[1]OUT_PrimaryEnergyCons!G$4:G$10000)</f>
        <v>59.893155379343803</v>
      </c>
      <c r="J41" s="1" cm="1">
        <f t="array" ref="J41">SUMPRODUCT(("NGA"=[1]OUT_PrimaryEnergyCons!$C$4:$C$10000)*1,[1]OUT_PrimaryEnergyCons!H$4:H$10000)</f>
        <v>25.853671967549111</v>
      </c>
      <c r="K41" s="1" cm="1">
        <f t="array" ref="K41">SUMPRODUCT(("NGA"=[1]OUT_PrimaryEnergyCons!$C$4:$C$10000)*1,[1]OUT_PrimaryEnergyCons!I$4:I$10000)</f>
        <v>22.230350772463609</v>
      </c>
    </row>
    <row r="42" spans="1:11" x14ac:dyDescent="0.25">
      <c r="A42" s="5" t="str">
        <f t="shared" si="4"/>
        <v>STEM</v>
      </c>
      <c r="B42" s="5" t="str">
        <f t="shared" si="1"/>
        <v>SPS3</v>
      </c>
      <c r="C42" s="5" t="str">
        <f t="shared" si="5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1.9269051429701702E-3</v>
      </c>
      <c r="J42" s="1" cm="1">
        <f t="array" ref="J42">SUMPRODUCT(("LNGA"=[1]OUT_PrimaryEnergyCons!$C$4:$C$10000)*1,[1]OUT_PrimaryEnergyCons!H$4:H$10000)</f>
        <v>1.5404699141910213E-3</v>
      </c>
      <c r="K42" s="1" cm="1">
        <f t="array" ref="K42">SUMPRODUCT(("LNGA"=[1]OUT_PrimaryEnergyCons!$C$4:$C$10000)*1,[1]OUT_PrimaryEnergyCons!I$4:I$10000)</f>
        <v>5.4970792176133455E-4</v>
      </c>
    </row>
    <row r="43" spans="1:11" x14ac:dyDescent="0.25">
      <c r="A43" s="5" t="str">
        <f>A37</f>
        <v>STEM</v>
      </c>
      <c r="B43" s="5" t="str">
        <f t="shared" si="1"/>
        <v>SPS3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0.2585954006651891</v>
      </c>
      <c r="H43" s="1" cm="1">
        <f t="array" ref="H43">SUMPRODUCT(("BIO"=[1]OUT_PrimaryEnergyCons!$C$4:$C$10000)*1+("LBIO"=[1]OUT_PrimaryEnergyCons!$C$4:$C$10000)*1,[1]OUT_PrimaryEnergyCons!F$4:F$10000)</f>
        <v>0.84225325557528863</v>
      </c>
      <c r="I43" s="1" cm="1">
        <f t="array" ref="I43">SUMPRODUCT(("BIO"=[1]OUT_PrimaryEnergyCons!$C$4:$C$10000)*1+("LBIO"=[1]OUT_PrimaryEnergyCons!$C$4:$C$10000)*1,[1]OUT_PrimaryEnergyCons!G$4:G$10000)</f>
        <v>4.4048311500008135E-3</v>
      </c>
      <c r="J43" s="1" cm="1">
        <f t="array" ref="J43">SUMPRODUCT(("BIO"=[1]OUT_PrimaryEnergyCons!$C$4:$C$10000)*1+("LBIO"=[1]OUT_PrimaryEnergyCons!$C$4:$C$10000)*1,[1]OUT_PrimaryEnergyCons!H$4:H$10000)</f>
        <v>2.656975856135749</v>
      </c>
      <c r="K43" s="1" cm="1">
        <f t="array" ref="K43">SUMPRODUCT(("BIO"=[1]OUT_PrimaryEnergyCons!$C$4:$C$10000)*1+("LBIO"=[1]OUT_PrimaryEnergyCons!$C$4:$C$10000)*1,[1]OUT_PrimaryEnergyCons!I$4:I$10000)</f>
        <v>2.1351793126430154</v>
      </c>
    </row>
    <row r="44" spans="1:11" x14ac:dyDescent="0.25">
      <c r="A44" s="5" t="str">
        <f t="shared" ref="A44:C45" si="22">A43</f>
        <v>STEM</v>
      </c>
      <c r="B44" s="5" t="str">
        <f t="shared" si="1"/>
        <v>SPS3</v>
      </c>
      <c r="C44" s="5" t="str">
        <f t="shared" si="22"/>
        <v>CH</v>
      </c>
      <c r="D44" t="s">
        <v>786</v>
      </c>
      <c r="E44" t="s">
        <v>8</v>
      </c>
      <c r="F44" s="1">
        <f t="shared" ref="F44:K44" si="23">F45</f>
        <v>0</v>
      </c>
      <c r="G44" s="1">
        <f t="shared" si="23"/>
        <v>0.2585954006651891</v>
      </c>
      <c r="H44" s="1">
        <f t="shared" si="23"/>
        <v>0.84225325557528863</v>
      </c>
      <c r="I44" s="1">
        <f t="shared" si="23"/>
        <v>4.4048311500008135E-3</v>
      </c>
      <c r="J44" s="1">
        <f t="shared" si="23"/>
        <v>0.84225325557528863</v>
      </c>
      <c r="K44" s="1">
        <f t="shared" si="23"/>
        <v>2.1351793126430154</v>
      </c>
    </row>
    <row r="45" spans="1:11" x14ac:dyDescent="0.25">
      <c r="A45" s="5" t="str">
        <f t="shared" si="22"/>
        <v>STEM</v>
      </c>
      <c r="B45" s="5" t="str">
        <f t="shared" si="1"/>
        <v>SPS3</v>
      </c>
      <c r="C45" s="5" t="str">
        <f t="shared" si="22"/>
        <v>CH</v>
      </c>
      <c r="D45" t="s">
        <v>611</v>
      </c>
      <c r="E45" t="s">
        <v>8</v>
      </c>
      <c r="F45" s="1">
        <f>F43</f>
        <v>0</v>
      </c>
      <c r="G45" s="1">
        <f>G43</f>
        <v>0.2585954006651891</v>
      </c>
      <c r="H45" s="1">
        <f>H43</f>
        <v>0.84225325557528863</v>
      </c>
      <c r="I45" s="1">
        <f>I43</f>
        <v>4.4048311500008135E-3</v>
      </c>
      <c r="J45" s="1">
        <f>IF(J43-MAX(F43:I43)&lt;0,J43,MAX(F43:I43))</f>
        <v>0.84225325557528863</v>
      </c>
      <c r="K45" s="1">
        <f>IF(K43-MAX(G43:J43)&lt;0,K43,MAX(G43:J43))</f>
        <v>2.1351793126430154</v>
      </c>
    </row>
    <row r="46" spans="1:11" x14ac:dyDescent="0.25">
      <c r="A46" s="5" t="str">
        <f>A44</f>
        <v>STEM</v>
      </c>
      <c r="B46" s="5" t="str">
        <f t="shared" si="1"/>
        <v>SPS3</v>
      </c>
      <c r="C46" s="5" t="str">
        <f>C44</f>
        <v>CH</v>
      </c>
      <c r="D46" t="s">
        <v>787</v>
      </c>
      <c r="E46" t="s">
        <v>8</v>
      </c>
      <c r="F46" s="1">
        <f t="shared" ref="F46:K46" si="24">F47</f>
        <v>0</v>
      </c>
      <c r="G46" s="1">
        <f t="shared" si="24"/>
        <v>0</v>
      </c>
      <c r="H46" s="1">
        <f t="shared" si="24"/>
        <v>0</v>
      </c>
      <c r="I46" s="1">
        <f t="shared" si="24"/>
        <v>0</v>
      </c>
      <c r="J46" s="1">
        <f t="shared" si="24"/>
        <v>1.8147226005604604</v>
      </c>
      <c r="K46" s="1">
        <f t="shared" si="24"/>
        <v>0</v>
      </c>
    </row>
    <row r="47" spans="1:11" x14ac:dyDescent="0.25">
      <c r="A47" s="5" t="str">
        <f t="shared" ref="A47" si="25">A45</f>
        <v>STEM</v>
      </c>
      <c r="B47" s="5" t="str">
        <f t="shared" si="1"/>
        <v>SPS3</v>
      </c>
      <c r="C47" s="5" t="str">
        <f t="shared" ref="C47" si="26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1.8147226005604604</v>
      </c>
      <c r="K47" s="1">
        <f>K43-K45</f>
        <v>0</v>
      </c>
    </row>
    <row r="48" spans="1:11" x14ac:dyDescent="0.25">
      <c r="A48" s="5" t="str">
        <f>A42</f>
        <v>STEM</v>
      </c>
      <c r="B48" s="5" t="str">
        <f t="shared" si="1"/>
        <v>SPS3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250.94821011274584</v>
      </c>
      <c r="G48" s="1" cm="1">
        <f t="array" ref="G48">SUMPRODUCT(("urn"=[1]OUT_PrimaryEnergyCons!$C$4:$C$10000)*1,[1]OUT_PrimaryEnergyCons!E$4:E$10000)</f>
        <v>253.2994782931132</v>
      </c>
      <c r="H48" s="1" cm="1">
        <f t="array" ref="H48">SUMPRODUCT(("urn"=[1]OUT_PrimaryEnergyCons!$C$4:$C$10000)*1,[1]OUT_PrimaryEnergyCons!F$4:F$10000)</f>
        <v>215.81740613283452</v>
      </c>
      <c r="I48" s="1" cm="1">
        <f t="array" ref="I48">SUMPRODUCT(("urn"=[1]OUT_PrimaryEnergyCons!$C$4:$C$10000)*1,[1]OUT_PrimaryEnergyCons!G$4:G$10000)</f>
        <v>209.64537929856593</v>
      </c>
      <c r="J48" s="1" cm="1">
        <f t="array" ref="J48">SUMPRODUCT(("urn"=[1]OUT_PrimaryEnergyCons!$C$4:$C$10000)*1,[1]OUT_PrimaryEnergyCons!H$4:H$10000)</f>
        <v>98.947522733277125</v>
      </c>
      <c r="K48" s="1" cm="1">
        <f t="array" ref="K48">SUMPRODUCT(("urn"=[1]OUT_PrimaryEnergyCons!$C$4:$C$10000)*1,[1]OUT_PrimaryEnergyCons!I$4:I$10000)</f>
        <v>6.49878655905114E-6</v>
      </c>
    </row>
    <row r="49" spans="1:19" x14ac:dyDescent="0.25">
      <c r="A49" s="5" t="str">
        <f>A37</f>
        <v>STEM</v>
      </c>
      <c r="B49" s="5" t="str">
        <f t="shared" si="1"/>
        <v>SPS3</v>
      </c>
      <c r="C49" s="5" t="str">
        <f>C37</f>
        <v>CH</v>
      </c>
      <c r="D49" t="s">
        <v>789</v>
      </c>
      <c r="E49" t="s">
        <v>8</v>
      </c>
      <c r="F49" s="1">
        <f>SUM(F50:F53)</f>
        <v>97.160003738483852</v>
      </c>
      <c r="G49" s="1">
        <f t="shared" ref="G49:K49" si="27">SUM(G50:G53)</f>
        <v>50.274381307657023</v>
      </c>
      <c r="H49" s="1">
        <f t="shared" si="27"/>
        <v>46.665085811944842</v>
      </c>
      <c r="I49" s="1">
        <f t="shared" si="27"/>
        <v>25.820367909052123</v>
      </c>
      <c r="J49" s="1">
        <f t="shared" si="27"/>
        <v>26.461008350609784</v>
      </c>
      <c r="K49" s="1">
        <f t="shared" si="27"/>
        <v>17.588962346136224</v>
      </c>
    </row>
    <row r="50" spans="1:19" x14ac:dyDescent="0.25">
      <c r="A50" s="5" t="str">
        <f t="shared" si="4"/>
        <v>STEM</v>
      </c>
      <c r="B50" s="5" t="str">
        <f t="shared" si="1"/>
        <v>SPS3</v>
      </c>
      <c r="C50" s="5" t="str">
        <f t="shared" si="5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15.013806715456084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8.106216161502358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2.5294331896567166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1.7627453361222949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4.5692894504082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4.3838219769957165</v>
      </c>
    </row>
    <row r="51" spans="1:19" x14ac:dyDescent="0.25">
      <c r="A51" s="5" t="str">
        <f t="shared" si="4"/>
        <v>STEM</v>
      </c>
      <c r="B51" s="5" t="str">
        <f t="shared" si="1"/>
        <v>SPS3</v>
      </c>
      <c r="C51" s="5" t="str">
        <f t="shared" si="5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28.948622095482548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24.255042997344081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29.089280127419361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15.063902073995603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10.609364136600256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7.24713848606679</v>
      </c>
    </row>
    <row r="52" spans="1:19" x14ac:dyDescent="0.25">
      <c r="A52" s="5" t="str">
        <f t="shared" si="4"/>
        <v>STEM</v>
      </c>
      <c r="B52" s="5" t="str">
        <f t="shared" si="1"/>
        <v>SPS3</v>
      </c>
      <c r="C52" s="5" t="str">
        <f t="shared" si="5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46.39847637245709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17.912514219815268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15.04584803272096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8.9935035238632786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11.282104556099855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5.9578342420837753</v>
      </c>
    </row>
    <row r="53" spans="1:19" x14ac:dyDescent="0.25">
      <c r="A53" s="5" t="str">
        <f t="shared" si="4"/>
        <v>STEM</v>
      </c>
      <c r="B53" s="5" t="str">
        <f t="shared" si="1"/>
        <v>SPS3</v>
      </c>
      <c r="C53" s="5" t="str">
        <f t="shared" si="5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6.7990985550881309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6.0792899532103933E-4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5.2446214780446762E-4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2.1697507094965455E-4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2.5020750147710063E-4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1.6764098993844422E-4</v>
      </c>
    </row>
    <row r="54" spans="1:19" x14ac:dyDescent="0.25">
      <c r="A54" s="5" t="str">
        <f t="shared" ref="A54" si="28">A53</f>
        <v>STEM</v>
      </c>
      <c r="B54" s="5" t="str">
        <f t="shared" si="1"/>
        <v>SPS3</v>
      </c>
      <c r="C54" s="5" t="str">
        <f t="shared" ref="C54" si="29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</v>
      </c>
      <c r="K54" s="1" cm="1">
        <f t="array" ref="K54">SUMPRODUCT(("h2"=[1]OUT_PrimaryEnergyCons!$C$4:$C$10000)*1,[1]OUT_PrimaryEnergyCons!I$4:I$10000)</f>
        <v>0</v>
      </c>
    </row>
    <row r="55" spans="1:19" x14ac:dyDescent="0.25">
      <c r="A55" s="9" t="str">
        <f>A53</f>
        <v>STEM</v>
      </c>
      <c r="B55" s="9" t="str">
        <f t="shared" si="1"/>
        <v>SPS3</v>
      </c>
      <c r="C55" s="2" t="str">
        <f>C53</f>
        <v>CH</v>
      </c>
      <c r="D55" s="2" t="s">
        <v>24</v>
      </c>
      <c r="E55" s="2" t="s">
        <v>8</v>
      </c>
      <c r="F55" s="3">
        <f>F56</f>
        <v>117.17000624573922</v>
      </c>
      <c r="G55" s="3">
        <f t="shared" ref="G55:K55" si="30">G56</f>
        <v>35.90279987223429</v>
      </c>
      <c r="H55" s="3">
        <f t="shared" si="30"/>
        <v>50.984688758094649</v>
      </c>
      <c r="I55" s="3">
        <f t="shared" si="30"/>
        <v>25.820368095835804</v>
      </c>
      <c r="J55" s="3">
        <f t="shared" si="30"/>
        <v>14.846155240714772</v>
      </c>
      <c r="K55" s="3">
        <f t="shared" si="30"/>
        <v>17.270522162505003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1"/>
        <v>SPS3</v>
      </c>
      <c r="C56" s="5" t="str">
        <f t="shared" si="5"/>
        <v>CH</v>
      </c>
      <c r="D56" t="s">
        <v>791</v>
      </c>
      <c r="E56" t="str">
        <f>E55</f>
        <v>PJ/yr.</v>
      </c>
      <c r="F56" s="1">
        <f>SUM(F57:F60)</f>
        <v>117.17000624573922</v>
      </c>
      <c r="G56" s="1">
        <f t="shared" ref="G56:K56" si="31">SUM(G57:G60)</f>
        <v>35.90279987223429</v>
      </c>
      <c r="H56" s="1">
        <f t="shared" si="31"/>
        <v>50.984688758094649</v>
      </c>
      <c r="I56" s="1">
        <f t="shared" si="31"/>
        <v>25.820368095835804</v>
      </c>
      <c r="J56" s="1">
        <f t="shared" si="31"/>
        <v>14.846155240714772</v>
      </c>
      <c r="K56" s="1">
        <f t="shared" si="31"/>
        <v>17.270522162505003</v>
      </c>
      <c r="N56" s="1"/>
    </row>
    <row r="57" spans="1:19" x14ac:dyDescent="0.25">
      <c r="A57" s="5" t="str">
        <f t="shared" ref="A57:A61" si="32">A56</f>
        <v>STEM</v>
      </c>
      <c r="B57" s="5" t="str">
        <f t="shared" si="1"/>
        <v>SPS3</v>
      </c>
      <c r="C57" s="5" t="str">
        <f t="shared" si="5"/>
        <v>CH</v>
      </c>
      <c r="D57" t="s">
        <v>25</v>
      </c>
      <c r="E57" t="str">
        <f t="shared" ref="E57:E60" si="33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6.2295570401311942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9.6662348462639241E-4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1.0838486885154177E-3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2.1214917678608218E-4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1.9332860212298189E-4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1.2935574681965773E-4</v>
      </c>
    </row>
    <row r="58" spans="1:19" x14ac:dyDescent="0.25">
      <c r="A58" s="5" t="str">
        <f t="shared" si="32"/>
        <v>STEM</v>
      </c>
      <c r="B58" s="5" t="str">
        <f t="shared" si="1"/>
        <v>SPS3</v>
      </c>
      <c r="C58" s="5" t="str">
        <f t="shared" si="5"/>
        <v>CH</v>
      </c>
      <c r="D58" t="s">
        <v>26</v>
      </c>
      <c r="E58" t="str">
        <f t="shared" si="33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12.753360393300385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7.5843075427844671E-4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7.0388289433131958E-4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2.8495949801811199E-4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1.0572944452442526E-3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7.0234930317277866E-4</v>
      </c>
    </row>
    <row r="59" spans="1:19" x14ac:dyDescent="0.25">
      <c r="A59" s="5" t="str">
        <f t="shared" si="32"/>
        <v>STEM</v>
      </c>
      <c r="B59" s="5" t="str">
        <f t="shared" si="1"/>
        <v>SPS3</v>
      </c>
      <c r="C59" s="5" t="str">
        <f t="shared" si="5"/>
        <v>CH</v>
      </c>
      <c r="D59" t="s">
        <v>27</v>
      </c>
      <c r="E59" t="str">
        <f t="shared" si="33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26.49298076786706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6.2609642751055737E-4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6.8387274008087546E-4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5.708662961383705E-4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1.4452047289155111E-3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4.5005527234929333E-4</v>
      </c>
    </row>
    <row r="60" spans="1:19" x14ac:dyDescent="0.25">
      <c r="A60" s="5" t="str">
        <f t="shared" si="32"/>
        <v>STEM</v>
      </c>
      <c r="B60" s="5" t="str">
        <f t="shared" si="1"/>
        <v>SPS3</v>
      </c>
      <c r="C60" s="5" t="str">
        <f t="shared" si="5"/>
        <v>CH</v>
      </c>
      <c r="D60" t="s">
        <v>28</v>
      </c>
      <c r="E60" t="str">
        <f t="shared" si="33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71.694108044440583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35.900448721567876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50.982217153771721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25.81930012086486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14.84345941293849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17.26924040218266</v>
      </c>
    </row>
    <row r="61" spans="1:19" x14ac:dyDescent="0.25">
      <c r="A61" s="9" t="str">
        <f t="shared" si="32"/>
        <v>STEM</v>
      </c>
      <c r="B61" s="9" t="str">
        <f t="shared" si="1"/>
        <v>SPS3</v>
      </c>
      <c r="C61" s="2" t="str">
        <f t="shared" ref="C61:C62" si="34">C60</f>
        <v>CH</v>
      </c>
      <c r="D61" s="2" t="s">
        <v>29</v>
      </c>
      <c r="E61" s="2" t="s">
        <v>8</v>
      </c>
      <c r="F61" s="3">
        <f>SUM(F62,F64,F68,F80,F128,F149,F157,F159,F167,F171,F165)</f>
        <v>251.13687354014752</v>
      </c>
      <c r="G61" s="3">
        <f t="shared" ref="G61:K61" si="35">SUM(G62,G64,G72,G80,G128,G149,G157,G159,G167,G171,G165)</f>
        <v>229.29528592412024</v>
      </c>
      <c r="H61" s="3">
        <f t="shared" si="35"/>
        <v>294.84527766273777</v>
      </c>
      <c r="I61" s="3">
        <f t="shared" si="35"/>
        <v>326.81210901886288</v>
      </c>
      <c r="J61" s="3">
        <f t="shared" si="35"/>
        <v>280.73451720053629</v>
      </c>
      <c r="K61" s="3">
        <f t="shared" si="35"/>
        <v>279.64358519418192</v>
      </c>
    </row>
    <row r="62" spans="1:19" x14ac:dyDescent="0.25">
      <c r="A62" s="5" t="str">
        <f>A61</f>
        <v>STEM</v>
      </c>
      <c r="B62" s="5" t="str">
        <f t="shared" si="1"/>
        <v>SPS3</v>
      </c>
      <c r="C62" s="5" t="str">
        <f t="shared" si="34"/>
        <v>CH</v>
      </c>
      <c r="D62" t="s">
        <v>792</v>
      </c>
      <c r="E62" t="str">
        <f>E60</f>
        <v>PJ/yr.</v>
      </c>
      <c r="F62" s="1">
        <f>+F63</f>
        <v>82.760001047023053</v>
      </c>
      <c r="G62" s="1">
        <f t="shared" ref="G62:K62" si="36">+G63</f>
        <v>82.75988086646197</v>
      </c>
      <c r="H62" s="1">
        <f t="shared" si="36"/>
        <v>70.327301573168086</v>
      </c>
      <c r="I62" s="1">
        <f t="shared" si="36"/>
        <v>69.196990626322162</v>
      </c>
      <c r="J62" s="1">
        <f t="shared" si="36"/>
        <v>32.820793630123951</v>
      </c>
      <c r="K62" s="1">
        <f t="shared" si="36"/>
        <v>0</v>
      </c>
    </row>
    <row r="63" spans="1:19" x14ac:dyDescent="0.25">
      <c r="A63" s="5" t="str">
        <f t="shared" ref="A63:B147" si="37">A62</f>
        <v>STEM</v>
      </c>
      <c r="B63" s="5" t="str">
        <f t="shared" si="1"/>
        <v>SPS3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">
        <f>'[1]Electricity and CHPs'!B14</f>
        <v>82.760001047023053</v>
      </c>
      <c r="G63" s="1">
        <f>'[1]Electricity and CHPs'!C14</f>
        <v>82.75988086646197</v>
      </c>
      <c r="H63" s="1">
        <f>'[1]Electricity and CHPs'!D14</f>
        <v>70.327301573168086</v>
      </c>
      <c r="I63" s="1">
        <f>'[1]Electricity and CHPs'!E14</f>
        <v>69.196990626322162</v>
      </c>
      <c r="J63" s="1">
        <f>'[1]Electricity and CHPs'!F14</f>
        <v>32.820793630123951</v>
      </c>
      <c r="K63" s="1">
        <f>'[1]Electricity and CHPs'!G14</f>
        <v>0</v>
      </c>
    </row>
    <row r="64" spans="1:19" x14ac:dyDescent="0.25">
      <c r="A64" s="5" t="str">
        <f t="shared" si="37"/>
        <v>STEM</v>
      </c>
      <c r="B64" s="5" t="str">
        <f t="shared" si="1"/>
        <v>SPS3</v>
      </c>
      <c r="C64" s="5" t="str">
        <f t="shared" si="38"/>
        <v>CH</v>
      </c>
      <c r="D64" t="s">
        <v>793</v>
      </c>
      <c r="E64" t="str">
        <f>E63</f>
        <v>PJ/yr.</v>
      </c>
      <c r="F64" s="1">
        <f>SUM(F65:F67)</f>
        <v>146.22000522090332</v>
      </c>
      <c r="G64" s="1">
        <f t="shared" ref="G64:K64" si="39">SUM(G65:G67)</f>
        <v>121.59798114091082</v>
      </c>
      <c r="H64" s="1">
        <f t="shared" si="39"/>
        <v>183.60168830476306</v>
      </c>
      <c r="I64" s="1">
        <f t="shared" si="39"/>
        <v>178.22580940187808</v>
      </c>
      <c r="J64" s="1">
        <f t="shared" si="39"/>
        <v>147.72949301765593</v>
      </c>
      <c r="K64" s="1">
        <f t="shared" si="39"/>
        <v>148.49542188838893</v>
      </c>
    </row>
    <row r="65" spans="1:11" x14ac:dyDescent="0.25">
      <c r="A65" s="5" t="str">
        <f t="shared" si="37"/>
        <v>STEM</v>
      </c>
      <c r="B65" s="5" t="str">
        <f t="shared" si="1"/>
        <v>SPS3</v>
      </c>
      <c r="C65" s="5" t="str">
        <f t="shared" si="38"/>
        <v>CH</v>
      </c>
      <c r="D65" t="s">
        <v>31</v>
      </c>
      <c r="E65" t="str">
        <f>E63</f>
        <v>PJ/yr.</v>
      </c>
      <c r="F65" s="1">
        <f>'[1]Electricity and CHPs'!B15</f>
        <v>66.745680037910205</v>
      </c>
      <c r="G65" s="1">
        <f>'[1]Electricity and CHPs'!C15</f>
        <v>49.798798199551555</v>
      </c>
      <c r="H65" s="1">
        <f>'[1]Electricity and CHPs'!D15</f>
        <v>68.534871720406599</v>
      </c>
      <c r="I65" s="1">
        <f>'[1]Electricity and CHPs'!E15</f>
        <v>70.207444882694688</v>
      </c>
      <c r="J65" s="1">
        <f>'[1]Electricity and CHPs'!F15</f>
        <v>72.378790765899794</v>
      </c>
      <c r="K65" s="1">
        <f>'[1]Electricity and CHPs'!G15</f>
        <v>74.335877429190887</v>
      </c>
    </row>
    <row r="66" spans="1:11" x14ac:dyDescent="0.25">
      <c r="A66" s="5" t="str">
        <f t="shared" si="37"/>
        <v>STEM</v>
      </c>
      <c r="B66" s="5" t="str">
        <f t="shared" si="1"/>
        <v>SPS3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">
        <f>'[1]Electricity and CHPs'!B16</f>
        <v>66.632402450035997</v>
      </c>
      <c r="G66" s="1">
        <f>'[1]Electricity and CHPs'!C16</f>
        <v>55.764000771154585</v>
      </c>
      <c r="H66" s="1">
        <f>'[1]Electricity and CHPs'!D16</f>
        <v>65.550470630124664</v>
      </c>
      <c r="I66" s="1">
        <f>'[1]Electricity and CHPs'!E16</f>
        <v>64.491829575698375</v>
      </c>
      <c r="J66" s="1">
        <f>'[1]Electricity and CHPs'!F16</f>
        <v>62.323588762492044</v>
      </c>
      <c r="K66" s="1">
        <f>'[1]Electricity and CHPs'!G16</f>
        <v>60.977329968934797</v>
      </c>
    </row>
    <row r="67" spans="1:11" x14ac:dyDescent="0.25">
      <c r="A67" s="5" t="str">
        <f t="shared" si="37"/>
        <v>STEM</v>
      </c>
      <c r="B67" s="5" t="str">
        <f t="shared" si="37"/>
        <v>SPS3</v>
      </c>
      <c r="C67" s="5" t="str">
        <f t="shared" si="38"/>
        <v>CH</v>
      </c>
      <c r="D67" t="s">
        <v>33</v>
      </c>
      <c r="E67" t="str">
        <f t="shared" si="40"/>
        <v>PJ/yr.</v>
      </c>
      <c r="F67" s="1">
        <f>'[1]Electricity and CHPs'!B17</f>
        <v>12.841922732957119</v>
      </c>
      <c r="G67" s="1">
        <f>'[1]Electricity and CHPs'!C17</f>
        <v>16.035182170204674</v>
      </c>
      <c r="H67" s="1">
        <f>'[1]Electricity and CHPs'!D17</f>
        <v>49.516345954231774</v>
      </c>
      <c r="I67" s="1">
        <f>'[1]Electricity and CHPs'!E17</f>
        <v>43.526534943485018</v>
      </c>
      <c r="J67" s="1">
        <f>'[1]Electricity and CHPs'!F17</f>
        <v>13.027113489264085</v>
      </c>
      <c r="K67" s="1">
        <f>'[1]Electricity and CHPs'!G17</f>
        <v>13.182214490263256</v>
      </c>
    </row>
    <row r="68" spans="1:11" x14ac:dyDescent="0.25">
      <c r="A68" s="5" t="str">
        <f>A59</f>
        <v>STEM</v>
      </c>
      <c r="B68" s="5" t="str">
        <f t="shared" si="37"/>
        <v>SPS3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0.11190570325760447</v>
      </c>
      <c r="G68" s="1">
        <f t="shared" ref="G68" si="41">SUM(G69:G71)</f>
        <v>0.17152880176506671</v>
      </c>
      <c r="H68" s="1">
        <f t="shared" ref="H68" si="42">SUM(H69:H71)</f>
        <v>7.2374129544246647E-3</v>
      </c>
      <c r="I68" s="1">
        <f t="shared" ref="I68" si="43">SUM(I69:I71)</f>
        <v>0.1715311067143461</v>
      </c>
      <c r="J68" s="1">
        <f t="shared" ref="J68" si="44">SUM(J69:J71)</f>
        <v>4.9478500640396193E-3</v>
      </c>
      <c r="K68" s="1">
        <f t="shared" ref="K68" si="45">SUM(K69:K71)</f>
        <v>8.1402616370303965E-3</v>
      </c>
    </row>
    <row r="69" spans="1:11" x14ac:dyDescent="0.25">
      <c r="A69" s="5" t="str">
        <f>A68</f>
        <v>STEM</v>
      </c>
      <c r="B69" s="5" t="str">
        <f t="shared" si="37"/>
        <v>SPS3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3.9601427067775474E-2</v>
      </c>
      <c r="G69" s="1">
        <f>'[1]Electricity and CHPs'!C18</f>
        <v>1.8403553739466068E-4</v>
      </c>
      <c r="H69" s="1">
        <f>'[1]Electricity and CHPs'!D18</f>
        <v>2.6854969257485389E-3</v>
      </c>
      <c r="I69" s="1">
        <f>'[1]Electricity and CHPs'!E18</f>
        <v>3.5454857055639222E-4</v>
      </c>
      <c r="J69" s="1">
        <f>'[1]Electricity and CHPs'!F18</f>
        <v>1.8966182865099853E-3</v>
      </c>
      <c r="K69" s="1">
        <f>'[1]Electricity and CHPs'!G18</f>
        <v>1.665873710369286E-5</v>
      </c>
    </row>
    <row r="70" spans="1:11" x14ac:dyDescent="0.25">
      <c r="A70" s="5" t="str">
        <f t="shared" ref="A70:A71" si="46">A69</f>
        <v>STEM</v>
      </c>
      <c r="B70" s="5" t="str">
        <f t="shared" si="37"/>
        <v>SPS3</v>
      </c>
      <c r="C70" s="5" t="str">
        <f t="shared" ref="C70:C71" si="47">C69</f>
        <v>CH</v>
      </c>
      <c r="D70" t="s">
        <v>228</v>
      </c>
      <c r="E70" t="str">
        <f>E124</f>
        <v>PJ/yr.</v>
      </c>
      <c r="F70" s="1">
        <f>'[1]Electricity and CHPs'!B28</f>
        <v>1.8014275676150734E-3</v>
      </c>
      <c r="G70" s="1">
        <f>'[1]Electricity and CHPs'!C28</f>
        <v>1.2118199101121054E-4</v>
      </c>
      <c r="H70" s="1">
        <f>'[1]Electricity and CHPs'!D28</f>
        <v>1.0626806845852896E-3</v>
      </c>
      <c r="I70" s="1">
        <f>'[1]Electricity and CHPs'!E28</f>
        <v>2.6284231223316185E-4</v>
      </c>
      <c r="J70" s="1">
        <f>'[1]Electricity and CHPs'!F28</f>
        <v>7.1088459788316372E-4</v>
      </c>
      <c r="K70" s="1">
        <f>'[1]Electricity and CHPs'!G28</f>
        <v>2.2962824968938383E-6</v>
      </c>
    </row>
    <row r="71" spans="1:11" x14ac:dyDescent="0.25">
      <c r="A71" s="5" t="str">
        <f t="shared" si="46"/>
        <v>STEM</v>
      </c>
      <c r="B71" s="5" t="str">
        <f t="shared" si="37"/>
        <v>SPS3</v>
      </c>
      <c r="C71" s="5" t="str">
        <f t="shared" si="47"/>
        <v>CH</v>
      </c>
      <c r="D71" t="s">
        <v>40</v>
      </c>
      <c r="E71" t="str">
        <f>E79</f>
        <v>PJ/yr.</v>
      </c>
      <c r="F71" s="1">
        <f>'[1]Electricity and CHPs'!B41</f>
        <v>7.0502848622213926E-2</v>
      </c>
      <c r="G71" s="1">
        <f>'[1]Electricity and CHPs'!C41</f>
        <v>0.17122358423666084</v>
      </c>
      <c r="H71" s="1">
        <f>'[1]Electricity and CHPs'!D41</f>
        <v>3.4892353440908355E-3</v>
      </c>
      <c r="I71" s="1">
        <f>'[1]Electricity and CHPs'!E41</f>
        <v>0.17091371583155654</v>
      </c>
      <c r="J71" s="1">
        <f>'[1]Electricity and CHPs'!F41</f>
        <v>2.3403471796464696E-3</v>
      </c>
      <c r="K71" s="1">
        <f>'[1]Electricity and CHPs'!G41</f>
        <v>8.1213066174298104E-3</v>
      </c>
    </row>
    <row r="72" spans="1:11" x14ac:dyDescent="0.25">
      <c r="A72" s="5" t="str">
        <f>A67</f>
        <v>STEM</v>
      </c>
      <c r="B72" s="5" t="str">
        <f t="shared" si="37"/>
        <v>SPS3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0.11190570325760447</v>
      </c>
      <c r="G72" s="1">
        <f t="shared" ref="G72:K72" si="48">SUM(G73:G75)</f>
        <v>0.17152880176506671</v>
      </c>
      <c r="H72" s="1">
        <f t="shared" si="48"/>
        <v>7.2374129544246647E-3</v>
      </c>
      <c r="I72" s="1">
        <f t="shared" si="48"/>
        <v>0.1715311067143461</v>
      </c>
      <c r="J72" s="1">
        <f t="shared" si="48"/>
        <v>4.9478500640396193E-3</v>
      </c>
      <c r="K72" s="1">
        <f t="shared" si="48"/>
        <v>8.1402616370303965E-3</v>
      </c>
    </row>
    <row r="73" spans="1:11" x14ac:dyDescent="0.25">
      <c r="A73" s="5" t="str">
        <f>A72</f>
        <v>STEM</v>
      </c>
      <c r="B73" s="5" t="str">
        <f t="shared" si="37"/>
        <v>SPS3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3.9601427067775474E-2</v>
      </c>
      <c r="G73" s="1">
        <f t="shared" ref="G73:K73" si="49">G69</f>
        <v>1.8403553739466068E-4</v>
      </c>
      <c r="H73" s="1">
        <f t="shared" si="49"/>
        <v>2.6854969257485389E-3</v>
      </c>
      <c r="I73" s="1">
        <f t="shared" si="49"/>
        <v>3.5454857055639222E-4</v>
      </c>
      <c r="J73" s="1">
        <f t="shared" si="49"/>
        <v>1.8966182865099853E-3</v>
      </c>
      <c r="K73" s="1">
        <f t="shared" si="49"/>
        <v>1.665873710369286E-5</v>
      </c>
    </row>
    <row r="74" spans="1:11" x14ac:dyDescent="0.25">
      <c r="A74" s="5" t="str">
        <f t="shared" si="37"/>
        <v>STEM</v>
      </c>
      <c r="B74" s="5" t="str">
        <f t="shared" si="37"/>
        <v>SPS3</v>
      </c>
      <c r="C74" s="5" t="str">
        <f t="shared" si="38"/>
        <v>CH</v>
      </c>
      <c r="D74" t="s">
        <v>515</v>
      </c>
      <c r="E74" t="str">
        <f>E132</f>
        <v>PJ/yr.</v>
      </c>
      <c r="F74" s="1">
        <f>'[1]Electricity and CHPs'!B28</f>
        <v>1.8014275676150734E-3</v>
      </c>
      <c r="G74" s="1">
        <f>'[1]Electricity and CHPs'!C28</f>
        <v>1.2118199101121054E-4</v>
      </c>
      <c r="H74" s="1">
        <f>'[1]Electricity and CHPs'!D28</f>
        <v>1.0626806845852896E-3</v>
      </c>
      <c r="I74" s="1">
        <f>'[1]Electricity and CHPs'!E28</f>
        <v>2.6284231223316185E-4</v>
      </c>
      <c r="J74" s="1">
        <f>'[1]Electricity and CHPs'!F28</f>
        <v>7.1088459788316372E-4</v>
      </c>
      <c r="K74" s="1">
        <f>'[1]Electricity and CHPs'!G28</f>
        <v>2.2962824968938383E-6</v>
      </c>
    </row>
    <row r="75" spans="1:11" x14ac:dyDescent="0.25">
      <c r="A75" s="5" t="str">
        <f t="shared" si="37"/>
        <v>STEM</v>
      </c>
      <c r="B75" s="5" t="str">
        <f t="shared" si="37"/>
        <v>SPS3</v>
      </c>
      <c r="C75" s="5" t="str">
        <f t="shared" si="38"/>
        <v>CH</v>
      </c>
      <c r="D75" t="s">
        <v>516</v>
      </c>
      <c r="E75" t="str">
        <f>E87</f>
        <v>PJ/yr.</v>
      </c>
      <c r="F75" s="1">
        <f>'[1]Electricity and CHPs'!B41</f>
        <v>7.0502848622213926E-2</v>
      </c>
      <c r="G75" s="1">
        <f>'[1]Electricity and CHPs'!C41</f>
        <v>0.17122358423666084</v>
      </c>
      <c r="H75" s="1">
        <f>'[1]Electricity and CHPs'!D41</f>
        <v>3.4892353440908355E-3</v>
      </c>
      <c r="I75" s="1">
        <f>'[1]Electricity and CHPs'!E41</f>
        <v>0.17091371583155654</v>
      </c>
      <c r="J75" s="1">
        <f>'[1]Electricity and CHPs'!F41</f>
        <v>2.3403471796464696E-3</v>
      </c>
      <c r="K75" s="1">
        <f>'[1]Electricity and CHPs'!G41</f>
        <v>8.1213066174298104E-3</v>
      </c>
    </row>
    <row r="76" spans="1:11" x14ac:dyDescent="0.25">
      <c r="A76" s="5" t="str">
        <f t="shared" ref="A76:C77" si="50">A74</f>
        <v>STEM</v>
      </c>
      <c r="B76" s="5" t="str">
        <f t="shared" si="37"/>
        <v>SPS3</v>
      </c>
      <c r="C76" s="5" t="str">
        <f t="shared" si="50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1">SUM(G77:G79)</f>
        <v>0</v>
      </c>
      <c r="H76" s="1">
        <f t="shared" si="51"/>
        <v>0</v>
      </c>
      <c r="I76" s="1">
        <f t="shared" si="51"/>
        <v>0</v>
      </c>
      <c r="J76" s="1">
        <f t="shared" si="51"/>
        <v>0</v>
      </c>
      <c r="K76" s="1">
        <f t="shared" si="51"/>
        <v>0</v>
      </c>
    </row>
    <row r="77" spans="1:11" x14ac:dyDescent="0.25">
      <c r="A77" s="5" t="str">
        <f t="shared" si="50"/>
        <v>STEM</v>
      </c>
      <c r="B77" s="5" t="str">
        <f t="shared" si="37"/>
        <v>SPS3</v>
      </c>
      <c r="C77" s="5" t="str">
        <f t="shared" si="50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37"/>
        <v>STEM</v>
      </c>
      <c r="B78" s="5" t="str">
        <f t="shared" si="37"/>
        <v>SPS3</v>
      </c>
      <c r="C78" s="5" t="str">
        <f t="shared" si="38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37"/>
        <v>STEM</v>
      </c>
      <c r="B79" s="5" t="str">
        <f t="shared" si="37"/>
        <v>SPS3</v>
      </c>
      <c r="C79" s="5" t="str">
        <f t="shared" si="38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37"/>
        <v>STEM</v>
      </c>
      <c r="B80" s="5" t="str">
        <f t="shared" si="37"/>
        <v>SPS3</v>
      </c>
      <c r="C80" s="5" t="str">
        <f t="shared" si="38"/>
        <v>CH</v>
      </c>
      <c r="D80" t="s">
        <v>797</v>
      </c>
      <c r="E80" t="str">
        <f>E129</f>
        <v>PJ/yr.</v>
      </c>
      <c r="F80" s="1">
        <f>SUM(F81:F95)</f>
        <v>3.2324908948706121</v>
      </c>
      <c r="G80" s="1">
        <f t="shared" ref="G80:K80" si="52">SUM(G81:G95)</f>
        <v>1.8457169417953141</v>
      </c>
      <c r="H80" s="1">
        <f t="shared" si="52"/>
        <v>1.1751557996092938</v>
      </c>
      <c r="I80" s="1">
        <f t="shared" si="52"/>
        <v>1.1379127427353923</v>
      </c>
      <c r="J80" s="1">
        <f t="shared" si="52"/>
        <v>3.2244619245294648</v>
      </c>
      <c r="K80" s="1">
        <f t="shared" si="52"/>
        <v>12.343237075038783</v>
      </c>
    </row>
    <row r="81" spans="1:11" x14ac:dyDescent="0.25">
      <c r="A81" s="5" t="str">
        <f t="shared" si="37"/>
        <v>STEM</v>
      </c>
      <c r="B81" s="5" t="str">
        <f t="shared" si="37"/>
        <v>SPS3</v>
      </c>
      <c r="C81" s="5" t="str">
        <f t="shared" si="38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2.1390204760554171E-2</v>
      </c>
      <c r="K81" s="1">
        <f>'[1]Electricity and CHPs'!G21</f>
        <v>1.834314700057E-2</v>
      </c>
    </row>
    <row r="82" spans="1:11" x14ac:dyDescent="0.25">
      <c r="A82" s="5" t="str">
        <f t="shared" si="37"/>
        <v>STEM</v>
      </c>
      <c r="B82" s="5" t="str">
        <f t="shared" si="37"/>
        <v>SPS3</v>
      </c>
      <c r="C82" s="5" t="str">
        <f t="shared" si="38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8.222790847770211E-4</v>
      </c>
      <c r="H82" s="1">
        <f>'[1]Electricity and CHPs'!D22</f>
        <v>4.3857899090255434E-3</v>
      </c>
      <c r="I82" s="1">
        <f>'[1]Electricity and CHPs'!E22</f>
        <v>7.7484117424957524E-4</v>
      </c>
      <c r="J82" s="1">
        <f>'[1]Electricity and CHPs'!F22</f>
        <v>3.9557991126638353E-2</v>
      </c>
      <c r="K82" s="1">
        <f>'[1]Electricity and CHPs'!G22</f>
        <v>1.4317297670901291E-2</v>
      </c>
    </row>
    <row r="83" spans="1:11" x14ac:dyDescent="0.25">
      <c r="A83" s="5" t="str">
        <f t="shared" si="37"/>
        <v>STEM</v>
      </c>
      <c r="B83" s="5" t="str">
        <f t="shared" si="37"/>
        <v>SPS3</v>
      </c>
      <c r="C83" s="5" t="str">
        <f t="shared" si="38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1.8405896024327084E-3</v>
      </c>
      <c r="K83" s="1">
        <f>'[1]Electricity and CHPs'!G23</f>
        <v>4.4413007175727852</v>
      </c>
    </row>
    <row r="84" spans="1:11" x14ac:dyDescent="0.25">
      <c r="A84" s="5" t="str">
        <f t="shared" si="37"/>
        <v>STEM</v>
      </c>
      <c r="B84" s="5" t="str">
        <f t="shared" si="37"/>
        <v>SPS3</v>
      </c>
      <c r="C84" s="5" t="str">
        <f t="shared" si="38"/>
        <v>CH</v>
      </c>
      <c r="D84" t="s">
        <v>38</v>
      </c>
      <c r="E84" t="str">
        <f>E83</f>
        <v>PJ/yr.</v>
      </c>
      <c r="F84" s="1">
        <f>'[1]Electricity and CHPs'!B24</f>
        <v>0.96588093895724347</v>
      </c>
      <c r="G84" s="1">
        <f>'[1]Electricity and CHPs'!C24</f>
        <v>1.0098322425074937E-3</v>
      </c>
      <c r="H84" s="1">
        <f>'[1]Electricity and CHPs'!D24</f>
        <v>2.1235546443102264E-3</v>
      </c>
      <c r="I84" s="1">
        <f>'[1]Electricity and CHPs'!E24</f>
        <v>1.0955597482838341E-3</v>
      </c>
      <c r="J84" s="1">
        <f>'[1]Electricity and CHPs'!F24</f>
        <v>7.0219498185359538E-2</v>
      </c>
      <c r="K84" s="1">
        <f>'[1]Electricity and CHPs'!G24</f>
        <v>5.2647299777857899E-4</v>
      </c>
    </row>
    <row r="85" spans="1:11" x14ac:dyDescent="0.25">
      <c r="A85" s="5" t="str">
        <f t="shared" si="37"/>
        <v>STEM</v>
      </c>
      <c r="B85" s="5" t="str">
        <f t="shared" si="37"/>
        <v>SPS3</v>
      </c>
      <c r="C85" s="5" t="str">
        <f t="shared" si="38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0.41736138336852047</v>
      </c>
      <c r="K85" s="1">
        <f>'[1]Electricity and CHPs'!G29</f>
        <v>0.71411554418193357</v>
      </c>
    </row>
    <row r="86" spans="1:11" x14ac:dyDescent="0.25">
      <c r="A86" s="5" t="str">
        <f t="shared" si="37"/>
        <v>STEM</v>
      </c>
      <c r="B86" s="5" t="str">
        <f t="shared" si="37"/>
        <v>SPS3</v>
      </c>
      <c r="C86" s="5" t="str">
        <f t="shared" si="38"/>
        <v>CH</v>
      </c>
      <c r="D86" t="s">
        <v>41</v>
      </c>
      <c r="E86" t="str">
        <f>E164</f>
        <v>PJ/yr.</v>
      </c>
      <c r="F86" s="1">
        <f>'[1]Electricity and CHPs'!B39</f>
        <v>0.66996712909807532</v>
      </c>
      <c r="G86" s="1">
        <f>'[1]Electricity and CHPs'!C39</f>
        <v>0.1010620776950945</v>
      </c>
      <c r="H86" s="1">
        <f>'[1]Electricity and CHPs'!D39</f>
        <v>4.9727297321387746E-2</v>
      </c>
      <c r="I86" s="1">
        <f>'[1]Electricity and CHPs'!E39</f>
        <v>2.3625528360051631E-2</v>
      </c>
      <c r="J86" s="1">
        <f>'[1]Electricity and CHPs'!F39</f>
        <v>5.6593285977949159E-3</v>
      </c>
      <c r="K86" s="1">
        <f>'[1]Electricity and CHPs'!G39</f>
        <v>1.2275116423180327E-2</v>
      </c>
    </row>
    <row r="87" spans="1:11" x14ac:dyDescent="0.25">
      <c r="A87" s="5" t="str">
        <f t="shared" si="37"/>
        <v>STEM</v>
      </c>
      <c r="B87" s="5" t="str">
        <f t="shared" si="37"/>
        <v>SPS3</v>
      </c>
      <c r="C87" s="5" t="str">
        <f t="shared" si="38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7.5818518019243224E-4</v>
      </c>
      <c r="K87" s="1">
        <f>'[1]Electricity and CHPs'!G40</f>
        <v>7.1171877763425463E-3</v>
      </c>
    </row>
    <row r="88" spans="1:11" x14ac:dyDescent="0.25">
      <c r="A88" s="5" t="str">
        <f t="shared" si="37"/>
        <v>STEM</v>
      </c>
      <c r="B88" s="5" t="str">
        <f t="shared" si="37"/>
        <v>SPS3</v>
      </c>
      <c r="C88" s="5" t="str">
        <f t="shared" si="38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4.7080953903739364E-4</v>
      </c>
      <c r="J88" s="1">
        <f>'[1]Electricity and CHPs'!F47</f>
        <v>1.6689896875290813E-3</v>
      </c>
      <c r="K88" s="1">
        <f>'[1]Electricity and CHPs'!G47</f>
        <v>4.8649432178524741</v>
      </c>
    </row>
    <row r="89" spans="1:11" x14ac:dyDescent="0.25">
      <c r="A89" s="5" t="str">
        <f t="shared" si="37"/>
        <v>STEM</v>
      </c>
      <c r="B89" s="5" t="str">
        <f t="shared" si="37"/>
        <v>SPS3</v>
      </c>
      <c r="C89" s="5" t="str">
        <f t="shared" si="38"/>
        <v>CH</v>
      </c>
      <c r="D89" t="s">
        <v>44</v>
      </c>
      <c r="E89" t="str">
        <f>E88</f>
        <v>PJ/yr.</v>
      </c>
      <c r="F89" s="1">
        <f>'[1]Electricity and CHPs'!B48</f>
        <v>1.4897582226393922E-2</v>
      </c>
      <c r="G89" s="1">
        <f>'[1]Electricity and CHPs'!C48</f>
        <v>8.3493073734307571E-3</v>
      </c>
      <c r="H89" s="1">
        <f>'[1]Electricity and CHPs'!D48</f>
        <v>4.5915909693068444E-3</v>
      </c>
      <c r="I89" s="1">
        <f>'[1]Electricity and CHPs'!E48</f>
        <v>2.2382518939599197E-3</v>
      </c>
      <c r="J89" s="1">
        <f>'[1]Electricity and CHPs'!F48</f>
        <v>5.7345346510392697E-3</v>
      </c>
      <c r="K89" s="1">
        <f>'[1]Electricity and CHPs'!G48</f>
        <v>3.0546688806588757E-3</v>
      </c>
    </row>
    <row r="90" spans="1:11" x14ac:dyDescent="0.25">
      <c r="A90" s="5" t="str">
        <f t="shared" si="37"/>
        <v>STEM</v>
      </c>
      <c r="B90" s="5" t="str">
        <f t="shared" si="37"/>
        <v>SPS3</v>
      </c>
      <c r="C90" s="5" t="str">
        <f t="shared" si="38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2.7733525211212097E-4</v>
      </c>
      <c r="J90" s="1">
        <f>'[1]Electricity and CHPs'!F49</f>
        <v>1.0061499878482143E-3</v>
      </c>
      <c r="K90" s="1">
        <f>'[1]Electricity and CHPs'!G49</f>
        <v>8.5264387214684003E-4</v>
      </c>
    </row>
    <row r="91" spans="1:11" x14ac:dyDescent="0.25">
      <c r="A91" s="5" t="str">
        <f t="shared" si="37"/>
        <v>STEM</v>
      </c>
      <c r="B91" s="5" t="str">
        <f t="shared" si="37"/>
        <v>SPS3</v>
      </c>
      <c r="C91" s="5" t="str">
        <f t="shared" si="38"/>
        <v>CH</v>
      </c>
      <c r="D91" t="s">
        <v>46</v>
      </c>
      <c r="E91" t="str">
        <f>E154</f>
        <v>PJ/yr.</v>
      </c>
      <c r="F91" s="1">
        <f>'[1]Electricity and CHPs'!B51</f>
        <v>2.7976026091200732E-2</v>
      </c>
      <c r="G91" s="1">
        <f>'[1]Electricity and CHPs'!C51</f>
        <v>2.5718442038973402E-3</v>
      </c>
      <c r="H91" s="1">
        <f>'[1]Electricity and CHPs'!D51</f>
        <v>6.0905287679679761E-3</v>
      </c>
      <c r="I91" s="1">
        <f>'[1]Electricity and CHPs'!E51</f>
        <v>2.0832534831503697E-3</v>
      </c>
      <c r="J91" s="1">
        <f>'[1]Electricity and CHPs'!F51</f>
        <v>1.4907336669344411</v>
      </c>
      <c r="K91" s="1">
        <f>'[1]Electricity and CHPs'!G51</f>
        <v>0.91614417264058923</v>
      </c>
    </row>
    <row r="92" spans="1:11" x14ac:dyDescent="0.25">
      <c r="A92" s="5" t="str">
        <f t="shared" si="37"/>
        <v>STEM</v>
      </c>
      <c r="B92" s="5" t="str">
        <f t="shared" si="37"/>
        <v>SPS3</v>
      </c>
      <c r="C92" s="5" t="str">
        <f t="shared" si="38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6.202981138979472E-4</v>
      </c>
      <c r="J92" s="1">
        <f>'[1]Electricity and CHPs'!F52</f>
        <v>4.8095212531629392E-2</v>
      </c>
      <c r="K92" s="1">
        <f>'[1]Electricity and CHPs'!G52</f>
        <v>0.18184895777352711</v>
      </c>
    </row>
    <row r="93" spans="1:11" x14ac:dyDescent="0.25">
      <c r="A93" s="5" t="str">
        <f t="shared" si="37"/>
        <v>STEM</v>
      </c>
      <c r="B93" s="5" t="str">
        <f t="shared" si="37"/>
        <v>SPS3</v>
      </c>
      <c r="C93" s="5" t="str">
        <f t="shared" si="38"/>
        <v>CH</v>
      </c>
      <c r="D93" t="s">
        <v>84</v>
      </c>
      <c r="E93" t="str">
        <f>E155</f>
        <v>PJ/yr.</v>
      </c>
      <c r="F93" s="1">
        <f>'[1]Electricity and CHPs'!B54</f>
        <v>0.95936608840194293</v>
      </c>
      <c r="G93" s="1">
        <f>'[1]Electricity and CHPs'!C54</f>
        <v>1.1059703314023126</v>
      </c>
      <c r="H93" s="1">
        <f>'[1]Electricity and CHPs'!D54</f>
        <v>1.1059698491146788</v>
      </c>
      <c r="I93" s="1">
        <f>'[1]Electricity and CHPs'!E54</f>
        <v>1.1059699414783823</v>
      </c>
      <c r="J93" s="1">
        <f>'[1]Electricity and CHPs'!F54</f>
        <v>1.106145232659695</v>
      </c>
      <c r="K93" s="1">
        <f>'[1]Electricity and CHPs'!G54</f>
        <v>1.1061457498503979</v>
      </c>
    </row>
    <row r="94" spans="1:11" x14ac:dyDescent="0.25">
      <c r="A94" s="5" t="str">
        <f t="shared" si="37"/>
        <v>STEM</v>
      </c>
      <c r="B94" s="5" t="str">
        <f t="shared" si="37"/>
        <v>SPS3</v>
      </c>
      <c r="C94" s="5" t="str">
        <f t="shared" si="38"/>
        <v>CH</v>
      </c>
      <c r="D94" t="s">
        <v>85</v>
      </c>
      <c r="E94" t="str">
        <f>E93</f>
        <v>PJ/yr.</v>
      </c>
      <c r="F94" s="1">
        <f>'[1]Electricity and CHPs'!B55</f>
        <v>0.59440313009575585</v>
      </c>
      <c r="G94" s="1">
        <f>'[1]Electricity and CHPs'!C55</f>
        <v>0.62593126979329428</v>
      </c>
      <c r="H94" s="1">
        <f>'[1]Electricity and CHPs'!D55</f>
        <v>2.2671888826165977E-3</v>
      </c>
      <c r="I94" s="1">
        <f>'[1]Electricity and CHPs'!E55</f>
        <v>5.4606834145031022E-4</v>
      </c>
      <c r="J94" s="1">
        <f>'[1]Electricity and CHPs'!F55</f>
        <v>7.8158006882648959E-3</v>
      </c>
      <c r="K94" s="1">
        <f>'[1]Electricity and CHPs'!G55</f>
        <v>3.6902697435041817E-4</v>
      </c>
    </row>
    <row r="95" spans="1:11" x14ac:dyDescent="0.25">
      <c r="A95" s="5" t="str">
        <f t="shared" si="37"/>
        <v>STEM</v>
      </c>
      <c r="B95" s="5" t="str">
        <f t="shared" si="37"/>
        <v>SPS3</v>
      </c>
      <c r="C95" s="5" t="str">
        <f t="shared" si="38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2.1085535081677803E-4</v>
      </c>
      <c r="J95" s="1">
        <f>'[1]Electricity and CHPs'!F58</f>
        <v>6.4751565675255788E-3</v>
      </c>
      <c r="K95" s="1">
        <f>'[1]Electricity and CHPs'!G58</f>
        <v>6.1883153571147653E-2</v>
      </c>
    </row>
    <row r="96" spans="1:11" x14ac:dyDescent="0.25">
      <c r="A96" s="5" t="str">
        <f t="shared" ref="A96:A111" si="53">A95</f>
        <v>STEM</v>
      </c>
      <c r="B96" s="5" t="str">
        <f t="shared" si="37"/>
        <v>SPS3</v>
      </c>
      <c r="C96" s="5" t="str">
        <f t="shared" ref="C96:C111" si="54">C95</f>
        <v>CH</v>
      </c>
      <c r="D96" t="s">
        <v>798</v>
      </c>
      <c r="E96" t="str">
        <f t="shared" ref="E96:E106" si="55">E171</f>
        <v>PJ/yr.</v>
      </c>
      <c r="F96" s="1">
        <f>F80-F112</f>
        <v>2.2145697139643028</v>
      </c>
      <c r="G96" s="1">
        <f t="shared" ref="G96:K96" si="56">G80-G112</f>
        <v>0.71632183606155331</v>
      </c>
      <c r="H96" s="1">
        <f t="shared" si="56"/>
        <v>6.1591771287167418E-2</v>
      </c>
      <c r="I96" s="1">
        <f t="shared" si="56"/>
        <v>3.1934599379563888E-2</v>
      </c>
      <c r="J96" s="1">
        <f t="shared" si="56"/>
        <v>1.7935796875705485</v>
      </c>
      <c r="K96" s="1">
        <f t="shared" si="56"/>
        <v>6.213028135172606</v>
      </c>
    </row>
    <row r="97" spans="1:11" x14ac:dyDescent="0.25">
      <c r="A97" s="5" t="str">
        <f t="shared" si="53"/>
        <v>STEM</v>
      </c>
      <c r="B97" s="5" t="str">
        <f t="shared" si="37"/>
        <v>SPS3</v>
      </c>
      <c r="C97" s="5" t="str">
        <f t="shared" si="54"/>
        <v>CH</v>
      </c>
      <c r="D97" t="s">
        <v>552</v>
      </c>
      <c r="E97" t="str">
        <f t="shared" si="55"/>
        <v>PJ/yr.</v>
      </c>
      <c r="F97" s="1">
        <f t="shared" ref="F97:K97" si="57">F81-F113</f>
        <v>0</v>
      </c>
      <c r="G97" s="1">
        <f t="shared" si="57"/>
        <v>0</v>
      </c>
      <c r="H97" s="1">
        <f t="shared" si="57"/>
        <v>0</v>
      </c>
      <c r="I97" s="1">
        <f t="shared" si="57"/>
        <v>0</v>
      </c>
      <c r="J97" s="1">
        <f t="shared" si="57"/>
        <v>1.8111095908724222E-2</v>
      </c>
      <c r="K97" s="1">
        <f t="shared" si="57"/>
        <v>1.0141991829032127E-2</v>
      </c>
    </row>
    <row r="98" spans="1:11" x14ac:dyDescent="0.25">
      <c r="A98" s="5" t="str">
        <f t="shared" si="53"/>
        <v>STEM</v>
      </c>
      <c r="B98" s="5" t="str">
        <f t="shared" si="37"/>
        <v>SPS3</v>
      </c>
      <c r="C98" s="5" t="str">
        <f t="shared" si="54"/>
        <v>CH</v>
      </c>
      <c r="D98" t="s">
        <v>553</v>
      </c>
      <c r="E98" t="str">
        <f t="shared" si="55"/>
        <v>PJ/yr.</v>
      </c>
      <c r="F98" s="1">
        <f t="shared" ref="F98:K98" si="58">F82-F114</f>
        <v>0</v>
      </c>
      <c r="G98" s="1">
        <f t="shared" si="58"/>
        <v>7.9624084177900526E-4</v>
      </c>
      <c r="H98" s="1">
        <f t="shared" si="58"/>
        <v>3.9043847350379818E-3</v>
      </c>
      <c r="I98" s="1">
        <f t="shared" si="58"/>
        <v>7.7464222011589174E-4</v>
      </c>
      <c r="J98" s="1">
        <f t="shared" si="58"/>
        <v>3.3493768725963685E-2</v>
      </c>
      <c r="K98" s="1">
        <f t="shared" si="58"/>
        <v>7.916085281745245E-3</v>
      </c>
    </row>
    <row r="99" spans="1:11" x14ac:dyDescent="0.25">
      <c r="A99" s="5" t="str">
        <f t="shared" si="53"/>
        <v>STEM</v>
      </c>
      <c r="B99" s="5" t="str">
        <f t="shared" si="37"/>
        <v>SPS3</v>
      </c>
      <c r="C99" s="5" t="str">
        <f t="shared" si="54"/>
        <v>CH</v>
      </c>
      <c r="D99" t="s">
        <v>554</v>
      </c>
      <c r="E99" t="str">
        <f t="shared" si="55"/>
        <v>PJ/yr.</v>
      </c>
      <c r="F99" s="1">
        <f t="shared" ref="F99:K99" si="59">F83-F115</f>
        <v>0</v>
      </c>
      <c r="G99" s="1">
        <f t="shared" si="59"/>
        <v>0</v>
      </c>
      <c r="H99" s="1">
        <f t="shared" si="59"/>
        <v>0</v>
      </c>
      <c r="I99" s="1">
        <f t="shared" si="59"/>
        <v>0</v>
      </c>
      <c r="J99" s="1">
        <f t="shared" si="59"/>
        <v>1.5584280371047617E-3</v>
      </c>
      <c r="K99" s="1">
        <f t="shared" si="59"/>
        <v>2.4556111111412893</v>
      </c>
    </row>
    <row r="100" spans="1:11" x14ac:dyDescent="0.25">
      <c r="A100" s="5" t="str">
        <f t="shared" si="53"/>
        <v>STEM</v>
      </c>
      <c r="B100" s="5" t="str">
        <f t="shared" si="37"/>
        <v>SPS3</v>
      </c>
      <c r="C100" s="5" t="str">
        <f t="shared" si="54"/>
        <v>CH</v>
      </c>
      <c r="D100" t="s">
        <v>555</v>
      </c>
      <c r="E100" t="str">
        <f t="shared" si="55"/>
        <v>PJ/yr.</v>
      </c>
      <c r="F100" s="1">
        <f t="shared" ref="F100:K100" si="60">F84-F116</f>
        <v>0.94100010198432427</v>
      </c>
      <c r="G100" s="1">
        <f t="shared" si="60"/>
        <v>9.7785495182306438E-4</v>
      </c>
      <c r="H100" s="1">
        <f t="shared" si="60"/>
        <v>1.8904631797800897E-3</v>
      </c>
      <c r="I100" s="1">
        <f t="shared" si="60"/>
        <v>1.0952784440012766E-3</v>
      </c>
      <c r="J100" s="1">
        <f t="shared" si="60"/>
        <v>5.9454880424650261E-2</v>
      </c>
      <c r="K100" s="1">
        <f t="shared" si="60"/>
        <v>2.9108881052474129E-4</v>
      </c>
    </row>
    <row r="101" spans="1:11" x14ac:dyDescent="0.25">
      <c r="A101" s="5" t="str">
        <f t="shared" si="53"/>
        <v>STEM</v>
      </c>
      <c r="B101" s="5" t="str">
        <f t="shared" si="37"/>
        <v>SPS3</v>
      </c>
      <c r="C101" s="5" t="str">
        <f t="shared" si="54"/>
        <v>CH</v>
      </c>
      <c r="D101" t="s">
        <v>556</v>
      </c>
      <c r="E101" t="str">
        <f t="shared" si="55"/>
        <v>PJ/yr.</v>
      </c>
      <c r="F101" s="1">
        <f t="shared" ref="F101:K101" si="61">F85-F117</f>
        <v>0</v>
      </c>
      <c r="G101" s="1">
        <f t="shared" si="61"/>
        <v>0</v>
      </c>
      <c r="H101" s="1">
        <f t="shared" si="61"/>
        <v>0</v>
      </c>
      <c r="I101" s="1">
        <f t="shared" si="61"/>
        <v>0</v>
      </c>
      <c r="J101" s="1">
        <f t="shared" si="61"/>
        <v>0.35338006940094663</v>
      </c>
      <c r="K101" s="1">
        <f t="shared" si="61"/>
        <v>0.39483704807320924</v>
      </c>
    </row>
    <row r="102" spans="1:11" x14ac:dyDescent="0.25">
      <c r="A102" s="5" t="str">
        <f t="shared" si="53"/>
        <v>STEM</v>
      </c>
      <c r="B102" s="5" t="str">
        <f t="shared" si="37"/>
        <v>SPS3</v>
      </c>
      <c r="C102" s="5" t="str">
        <f t="shared" si="54"/>
        <v>CH</v>
      </c>
      <c r="D102" t="s">
        <v>557</v>
      </c>
      <c r="E102" t="str">
        <f t="shared" si="55"/>
        <v>PJ/yr.</v>
      </c>
      <c r="F102" s="1">
        <f t="shared" ref="F102:K102" si="62">F86-F118</f>
        <v>0.65270895343275981</v>
      </c>
      <c r="G102" s="1">
        <f t="shared" si="62"/>
        <v>9.7861851657942145E-2</v>
      </c>
      <c r="H102" s="1">
        <f t="shared" si="62"/>
        <v>4.4268992497057305E-2</v>
      </c>
      <c r="I102" s="1">
        <f t="shared" si="62"/>
        <v>2.3619462089073916E-2</v>
      </c>
      <c r="J102" s="1">
        <f t="shared" si="62"/>
        <v>4.7917560472662823E-3</v>
      </c>
      <c r="K102" s="1">
        <f t="shared" si="62"/>
        <v>6.7869559383918355E-3</v>
      </c>
    </row>
    <row r="103" spans="1:11" x14ac:dyDescent="0.25">
      <c r="A103" s="5" t="str">
        <f t="shared" si="53"/>
        <v>STEM</v>
      </c>
      <c r="B103" s="5" t="str">
        <f t="shared" si="37"/>
        <v>SPS3</v>
      </c>
      <c r="C103" s="5" t="str">
        <f t="shared" si="54"/>
        <v>CH</v>
      </c>
      <c r="D103" t="s">
        <v>558</v>
      </c>
      <c r="E103" t="str">
        <f t="shared" si="55"/>
        <v>PJ/yr.</v>
      </c>
      <c r="F103" s="1">
        <f t="shared" ref="F103:K103" si="63">F87-F119</f>
        <v>0</v>
      </c>
      <c r="G103" s="1">
        <f t="shared" si="63"/>
        <v>0</v>
      </c>
      <c r="H103" s="1">
        <f t="shared" si="63"/>
        <v>0</v>
      </c>
      <c r="I103" s="1">
        <f t="shared" si="63"/>
        <v>0</v>
      </c>
      <c r="J103" s="1">
        <f t="shared" si="63"/>
        <v>6.4195573014621025E-4</v>
      </c>
      <c r="K103" s="1">
        <f t="shared" si="63"/>
        <v>3.9351186724453785E-3</v>
      </c>
    </row>
    <row r="104" spans="1:11" x14ac:dyDescent="0.25">
      <c r="A104" s="5" t="str">
        <f t="shared" si="53"/>
        <v>STEM</v>
      </c>
      <c r="B104" s="5" t="str">
        <f t="shared" si="37"/>
        <v>SPS3</v>
      </c>
      <c r="C104" s="5" t="str">
        <f t="shared" si="54"/>
        <v>CH</v>
      </c>
      <c r="D104" t="s">
        <v>559</v>
      </c>
      <c r="E104" t="str">
        <f t="shared" si="55"/>
        <v>PJ/yr.</v>
      </c>
      <c r="F104" s="1">
        <f t="shared" ref="F104:K104" si="64">F88-F120</f>
        <v>0</v>
      </c>
      <c r="G104" s="1">
        <f t="shared" si="64"/>
        <v>0</v>
      </c>
      <c r="H104" s="1">
        <f t="shared" si="64"/>
        <v>0</v>
      </c>
      <c r="I104" s="1">
        <f t="shared" si="64"/>
        <v>4.7068865038681328E-4</v>
      </c>
      <c r="J104" s="1">
        <f t="shared" si="64"/>
        <v>1.4131343126388913E-3</v>
      </c>
      <c r="K104" s="1">
        <f t="shared" si="64"/>
        <v>2.6898445704344978</v>
      </c>
    </row>
    <row r="105" spans="1:11" x14ac:dyDescent="0.25">
      <c r="A105" s="5" t="str">
        <f t="shared" si="53"/>
        <v>STEM</v>
      </c>
      <c r="B105" s="5" t="str">
        <f t="shared" si="37"/>
        <v>SPS3</v>
      </c>
      <c r="C105" s="5" t="str">
        <f t="shared" si="54"/>
        <v>CH</v>
      </c>
      <c r="D105" t="s">
        <v>560</v>
      </c>
      <c r="E105" t="str">
        <f t="shared" si="55"/>
        <v>PJ/yr.</v>
      </c>
      <c r="F105" s="1">
        <f t="shared" ref="F105:K105" si="65">F89-F121</f>
        <v>1.451382445696767E-2</v>
      </c>
      <c r="G105" s="1">
        <f t="shared" si="65"/>
        <v>8.0849186783036424E-3</v>
      </c>
      <c r="H105" s="1">
        <f t="shared" si="65"/>
        <v>4.0875960914605412E-3</v>
      </c>
      <c r="I105" s="1">
        <f t="shared" si="65"/>
        <v>2.2376771833207236E-3</v>
      </c>
      <c r="J105" s="1">
        <f t="shared" si="65"/>
        <v>4.855433046082905E-3</v>
      </c>
      <c r="K105" s="1">
        <f t="shared" si="65"/>
        <v>1.6889373904640428E-3</v>
      </c>
    </row>
    <row r="106" spans="1:11" x14ac:dyDescent="0.25">
      <c r="A106" s="5" t="str">
        <f t="shared" si="53"/>
        <v>STEM</v>
      </c>
      <c r="B106" s="5" t="str">
        <f t="shared" si="37"/>
        <v>SPS3</v>
      </c>
      <c r="C106" s="5" t="str">
        <f t="shared" si="54"/>
        <v>CH</v>
      </c>
      <c r="D106" t="s">
        <v>561</v>
      </c>
      <c r="E106" t="str">
        <f t="shared" si="55"/>
        <v>PJ/yr.</v>
      </c>
      <c r="F106" s="1">
        <f t="shared" ref="F106:K106" si="66">F90-F122</f>
        <v>0</v>
      </c>
      <c r="G106" s="1">
        <f t="shared" si="66"/>
        <v>0</v>
      </c>
      <c r="H106" s="1">
        <f t="shared" si="66"/>
        <v>0</v>
      </c>
      <c r="I106" s="1">
        <f t="shared" si="66"/>
        <v>2.7726404139609613E-4</v>
      </c>
      <c r="J106" s="1">
        <f t="shared" si="66"/>
        <v>8.5190764335668818E-4</v>
      </c>
      <c r="K106" s="1">
        <f t="shared" si="66"/>
        <v>4.7142985792562479E-4</v>
      </c>
    </row>
    <row r="107" spans="1:11" x14ac:dyDescent="0.25">
      <c r="A107" s="5" t="str">
        <f t="shared" si="53"/>
        <v>STEM</v>
      </c>
      <c r="B107" s="5" t="str">
        <f t="shared" si="37"/>
        <v>SPS3</v>
      </c>
      <c r="C107" s="5" t="str">
        <f t="shared" si="54"/>
        <v>CH</v>
      </c>
      <c r="D107" t="s">
        <v>562</v>
      </c>
      <c r="E107" t="str">
        <f>E183</f>
        <v>PJ/yr.</v>
      </c>
      <c r="F107" s="1">
        <f t="shared" ref="F107:K107" si="67">F91-F123</f>
        <v>2.7255371074365254E-2</v>
      </c>
      <c r="G107" s="1">
        <f t="shared" si="67"/>
        <v>2.4904043307765532E-3</v>
      </c>
      <c r="H107" s="1">
        <f t="shared" si="67"/>
        <v>5.4220033433492396E-3</v>
      </c>
      <c r="I107" s="1">
        <f t="shared" si="67"/>
        <v>2.0827185710861201E-3</v>
      </c>
      <c r="J107" s="1">
        <f t="shared" si="67"/>
        <v>1.2622048605164606</v>
      </c>
      <c r="K107" s="1">
        <f t="shared" si="67"/>
        <v>0.50653940203649506</v>
      </c>
    </row>
    <row r="108" spans="1:11" x14ac:dyDescent="0.25">
      <c r="A108" s="5" t="str">
        <f t="shared" si="53"/>
        <v>STEM</v>
      </c>
      <c r="B108" s="5" t="str">
        <f t="shared" si="37"/>
        <v>SPS3</v>
      </c>
      <c r="C108" s="5" t="str">
        <f t="shared" si="54"/>
        <v>CH</v>
      </c>
      <c r="D108" t="s">
        <v>563</v>
      </c>
      <c r="E108" t="str">
        <f>E185</f>
        <v>PJ/yr.</v>
      </c>
      <c r="F108" s="1">
        <f t="shared" ref="F108:K108" si="68">F92-F124</f>
        <v>0</v>
      </c>
      <c r="G108" s="1">
        <f t="shared" si="68"/>
        <v>0</v>
      </c>
      <c r="H108" s="1">
        <f t="shared" si="68"/>
        <v>0</v>
      </c>
      <c r="I108" s="1">
        <f t="shared" si="68"/>
        <v>6.2013884141995119E-4</v>
      </c>
      <c r="J108" s="1">
        <f t="shared" si="68"/>
        <v>4.072223789634484E-2</v>
      </c>
      <c r="K108" s="1">
        <f t="shared" si="68"/>
        <v>0.10054494159588917</v>
      </c>
    </row>
    <row r="109" spans="1:11" x14ac:dyDescent="0.25">
      <c r="A109" s="5" t="str">
        <f t="shared" si="53"/>
        <v>STEM</v>
      </c>
      <c r="B109" s="5" t="str">
        <f t="shared" si="37"/>
        <v>SPS3</v>
      </c>
      <c r="C109" s="5" t="str">
        <f t="shared" si="54"/>
        <v>CH</v>
      </c>
      <c r="D109" t="s">
        <v>564</v>
      </c>
      <c r="E109" t="str">
        <f>E187</f>
        <v>PJ/yr.</v>
      </c>
      <c r="F109" s="1">
        <f t="shared" ref="F109:K109" si="69">F93-F125</f>
        <v>0</v>
      </c>
      <c r="G109" s="1">
        <f t="shared" si="69"/>
        <v>0</v>
      </c>
      <c r="H109" s="1">
        <f t="shared" si="69"/>
        <v>0</v>
      </c>
      <c r="I109" s="1">
        <f t="shared" si="69"/>
        <v>0</v>
      </c>
      <c r="J109" s="1">
        <f t="shared" si="69"/>
        <v>0</v>
      </c>
      <c r="K109" s="1">
        <f t="shared" si="69"/>
        <v>0</v>
      </c>
    </row>
    <row r="110" spans="1:11" x14ac:dyDescent="0.25">
      <c r="A110" s="5" t="str">
        <f t="shared" si="53"/>
        <v>STEM</v>
      </c>
      <c r="B110" s="5" t="str">
        <f t="shared" si="37"/>
        <v>SPS3</v>
      </c>
      <c r="C110" s="5" t="str">
        <f t="shared" si="54"/>
        <v>CH</v>
      </c>
      <c r="D110" t="s">
        <v>565</v>
      </c>
      <c r="E110" t="str">
        <f>E188</f>
        <v>PJ/yr.</v>
      </c>
      <c r="F110" s="1">
        <f t="shared" ref="F110:K110" si="70">F94-F126</f>
        <v>0.57909146301588599</v>
      </c>
      <c r="G110" s="1">
        <f t="shared" si="70"/>
        <v>0.60611056560092869</v>
      </c>
      <c r="H110" s="1">
        <f t="shared" si="70"/>
        <v>2.0183314404822548E-3</v>
      </c>
      <c r="I110" s="1">
        <f t="shared" si="70"/>
        <v>5.4592812877522821E-4</v>
      </c>
      <c r="J110" s="1">
        <f t="shared" si="70"/>
        <v>6.6176419278452473E-3</v>
      </c>
      <c r="K110" s="1">
        <f t="shared" si="70"/>
        <v>2.0403633893563021E-4</v>
      </c>
    </row>
    <row r="111" spans="1:11" x14ac:dyDescent="0.25">
      <c r="A111" s="5" t="str">
        <f t="shared" si="53"/>
        <v>STEM</v>
      </c>
      <c r="B111" s="5" t="str">
        <f t="shared" si="37"/>
        <v>SPS3</v>
      </c>
      <c r="C111" s="5" t="str">
        <f t="shared" si="54"/>
        <v>CH</v>
      </c>
      <c r="D111" t="s">
        <v>566</v>
      </c>
      <c r="E111" t="str">
        <f>E193</f>
        <v>PJ/yr.</v>
      </c>
      <c r="F111" s="1">
        <f t="shared" ref="F111:K111" si="71">F95-F127</f>
        <v>0</v>
      </c>
      <c r="G111" s="1">
        <f t="shared" si="71"/>
        <v>0</v>
      </c>
      <c r="H111" s="1">
        <f t="shared" si="71"/>
        <v>0</v>
      </c>
      <c r="I111" s="1">
        <f t="shared" si="71"/>
        <v>2.1080120998760111E-4</v>
      </c>
      <c r="J111" s="1">
        <f t="shared" si="71"/>
        <v>5.4825179530176233E-3</v>
      </c>
      <c r="K111" s="1">
        <f t="shared" si="71"/>
        <v>3.4215417771760598E-2</v>
      </c>
    </row>
    <row r="112" spans="1:11" x14ac:dyDescent="0.25">
      <c r="A112" s="5" t="str">
        <f>A95</f>
        <v>STEM</v>
      </c>
      <c r="B112" s="5" t="str">
        <f t="shared" si="37"/>
        <v>SPS3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1.0179211809063091</v>
      </c>
      <c r="G112" s="1">
        <f t="shared" ref="G112:K112" si="72">SUM(G113:G127)</f>
        <v>1.1293951057337608</v>
      </c>
      <c r="H112" s="1">
        <f t="shared" si="72"/>
        <v>1.1135640283221264</v>
      </c>
      <c r="I112" s="1">
        <f t="shared" si="72"/>
        <v>1.1059781433558284</v>
      </c>
      <c r="J112" s="1">
        <f t="shared" si="72"/>
        <v>1.4308822369589163</v>
      </c>
      <c r="K112" s="1">
        <f t="shared" si="72"/>
        <v>6.1302089398661765</v>
      </c>
    </row>
    <row r="113" spans="1:11" x14ac:dyDescent="0.25">
      <c r="A113" s="5" t="str">
        <f t="shared" si="37"/>
        <v>STEM</v>
      </c>
      <c r="B113" s="5" t="str">
        <f t="shared" si="37"/>
        <v>SPS3</v>
      </c>
      <c r="C113" s="5" t="str">
        <f t="shared" si="38"/>
        <v>CH</v>
      </c>
      <c r="D113" t="s">
        <v>613</v>
      </c>
      <c r="E113" t="str">
        <f t="shared" ref="E113:E128" si="73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3.279108851829951E-3</v>
      </c>
      <c r="K113" s="1">
        <f>'[1]Electricity and CHPs_IN'!Q$23/SUM('[1]Electricity and CHPs_IN'!Q$22:Q$23)*K81</f>
        <v>8.2011551715378724E-3</v>
      </c>
    </row>
    <row r="114" spans="1:11" x14ac:dyDescent="0.25">
      <c r="A114" s="5" t="str">
        <f t="shared" si="37"/>
        <v>STEM</v>
      </c>
      <c r="B114" s="5" t="str">
        <f t="shared" si="37"/>
        <v>SPS3</v>
      </c>
      <c r="C114" s="5" t="str">
        <f t="shared" si="38"/>
        <v>CH</v>
      </c>
      <c r="D114" t="s">
        <v>614</v>
      </c>
      <c r="E114" t="str">
        <f t="shared" si="73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2.6038242998015837E-5</v>
      </c>
      <c r="H114" s="1">
        <f>'[1]Electricity and CHPs_IN'!N$23/SUM('[1]Electricity and CHPs_IN'!N$22:N$23)*H82</f>
        <v>4.8140517398756162E-4</v>
      </c>
      <c r="I114" s="1">
        <f>'[1]Electricity and CHPs_IN'!O$23/SUM('[1]Electricity and CHPs_IN'!O$22:O$23)*I82</f>
        <v>1.9895413368349855E-7</v>
      </c>
      <c r="J114" s="1">
        <f>'[1]Electricity and CHPs_IN'!P$23/SUM('[1]Electricity and CHPs_IN'!P$22:P$23)*J82</f>
        <v>6.0642224006746655E-3</v>
      </c>
      <c r="K114" s="1">
        <f>'[1]Electricity and CHPs_IN'!Q$23/SUM('[1]Electricity and CHPs_IN'!Q$22:Q$23)*K82</f>
        <v>6.4012123891560467E-3</v>
      </c>
    </row>
    <row r="115" spans="1:11" x14ac:dyDescent="0.25">
      <c r="A115" s="5" t="str">
        <f t="shared" si="37"/>
        <v>STEM</v>
      </c>
      <c r="B115" s="5" t="str">
        <f t="shared" si="37"/>
        <v>SPS3</v>
      </c>
      <c r="C115" s="5" t="str">
        <f t="shared" si="38"/>
        <v>CH</v>
      </c>
      <c r="D115" t="s">
        <v>615</v>
      </c>
      <c r="E115" t="str">
        <f t="shared" si="73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2.8216156532794679E-4</v>
      </c>
      <c r="K115" s="1">
        <f>'[1]Electricity and CHPs_IN'!Q$23/SUM('[1]Electricity and CHPs_IN'!Q$22:Q$23)*K83</f>
        <v>1.9856896064314957</v>
      </c>
    </row>
    <row r="116" spans="1:11" x14ac:dyDescent="0.25">
      <c r="A116" s="5" t="str">
        <f t="shared" si="37"/>
        <v>STEM</v>
      </c>
      <c r="B116" s="5" t="str">
        <f t="shared" si="37"/>
        <v>SPS3</v>
      </c>
      <c r="C116" s="5" t="str">
        <f t="shared" si="38"/>
        <v>CH</v>
      </c>
      <c r="D116" t="s">
        <v>616</v>
      </c>
      <c r="E116" t="str">
        <f t="shared" si="73"/>
        <v>PJ/yr.</v>
      </c>
      <c r="F116" s="1">
        <f>'[1]Electricity and CHPs_IN'!L$23/SUM('[1]Electricity and CHPs_IN'!L$22:L$23)*F84</f>
        <v>2.4880836972919235E-2</v>
      </c>
      <c r="G116" s="1">
        <f>'[1]Electricity and CHPs_IN'!M$23/SUM('[1]Electricity and CHPs_IN'!M$22:M$23)*G84</f>
        <v>3.197729068442941E-5</v>
      </c>
      <c r="H116" s="1">
        <f>'[1]Electricity and CHPs_IN'!N$23/SUM('[1]Electricity and CHPs_IN'!N$22:N$23)*H84</f>
        <v>2.3309146453013674E-4</v>
      </c>
      <c r="I116" s="1">
        <f>'[1]Electricity and CHPs_IN'!O$23/SUM('[1]Electricity and CHPs_IN'!O$22:O$23)*I84</f>
        <v>2.8130428255754428E-7</v>
      </c>
      <c r="J116" s="1">
        <f>'[1]Electricity and CHPs_IN'!P$23/SUM('[1]Electricity and CHPs_IN'!P$22:P$23)*J84</f>
        <v>1.0764617760709281E-2</v>
      </c>
      <c r="K116" s="1">
        <f>'[1]Electricity and CHPs_IN'!Q$23/SUM('[1]Electricity and CHPs_IN'!Q$22:Q$23)*K84</f>
        <v>2.353841872538377E-4</v>
      </c>
    </row>
    <row r="117" spans="1:11" x14ac:dyDescent="0.25">
      <c r="A117" s="5" t="str">
        <f t="shared" si="37"/>
        <v>STEM</v>
      </c>
      <c r="B117" s="5" t="str">
        <f t="shared" si="37"/>
        <v>SPS3</v>
      </c>
      <c r="C117" s="5" t="str">
        <f t="shared" si="38"/>
        <v>CH</v>
      </c>
      <c r="D117" t="s">
        <v>617</v>
      </c>
      <c r="E117" t="str">
        <f t="shared" si="73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6.3981313967573838E-2</v>
      </c>
      <c r="K117" s="1">
        <f>'[1]Electricity and CHPs_IN'!Q$23/SUM('[1]Electricity and CHPs_IN'!Q$22:Q$23)*K85</f>
        <v>0.31927849610872433</v>
      </c>
    </row>
    <row r="118" spans="1:11" x14ac:dyDescent="0.25">
      <c r="A118" s="5" t="str">
        <f t="shared" si="37"/>
        <v>STEM</v>
      </c>
      <c r="B118" s="5" t="str">
        <f t="shared" si="37"/>
        <v>SPS3</v>
      </c>
      <c r="C118" s="5" t="str">
        <f t="shared" si="38"/>
        <v>CH</v>
      </c>
      <c r="D118" t="s">
        <v>618</v>
      </c>
      <c r="E118" t="str">
        <f t="shared" si="73"/>
        <v>PJ/yr.</v>
      </c>
      <c r="F118" s="1">
        <f>'[1]Electricity and CHPs_IN'!L$23/SUM('[1]Electricity and CHPs_IN'!L$22:L$23)*F86</f>
        <v>1.725817566531546E-2</v>
      </c>
      <c r="G118" s="1">
        <f>'[1]Electricity and CHPs_IN'!M$23/SUM('[1]Electricity and CHPs_IN'!M$22:M$23)*G86</f>
        <v>3.2002260371523489E-3</v>
      </c>
      <c r="H118" s="1">
        <f>'[1]Electricity and CHPs_IN'!N$23/SUM('[1]Electricity and CHPs_IN'!N$22:N$23)*H86</f>
        <v>5.4583048243304379E-3</v>
      </c>
      <c r="I118" s="1">
        <f>'[1]Electricity and CHPs_IN'!O$23/SUM('[1]Electricity and CHPs_IN'!O$22:O$23)*I86</f>
        <v>6.0662709777152438E-6</v>
      </c>
      <c r="J118" s="1">
        <f>'[1]Electricity and CHPs_IN'!P$23/SUM('[1]Electricity and CHPs_IN'!P$22:P$23)*J86</f>
        <v>8.6757255052863315E-4</v>
      </c>
      <c r="K118" s="1">
        <f>'[1]Electricity and CHPs_IN'!Q$23/SUM('[1]Electricity and CHPs_IN'!Q$22:Q$23)*K86</f>
        <v>5.4881604847884912E-3</v>
      </c>
    </row>
    <row r="119" spans="1:11" x14ac:dyDescent="0.25">
      <c r="A119" s="5" t="str">
        <f t="shared" si="37"/>
        <v>STEM</v>
      </c>
      <c r="B119" s="5" t="str">
        <f t="shared" si="37"/>
        <v>SPS3</v>
      </c>
      <c r="C119" s="5" t="str">
        <f t="shared" si="38"/>
        <v>CH</v>
      </c>
      <c r="D119" t="s">
        <v>619</v>
      </c>
      <c r="E119" t="str">
        <f t="shared" si="73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1.16229450046222E-4</v>
      </c>
      <c r="K119" s="1">
        <f>'[1]Electricity and CHPs_IN'!Q$23/SUM('[1]Electricity and CHPs_IN'!Q$22:Q$23)*K87</f>
        <v>3.1820691038971683E-3</v>
      </c>
    </row>
    <row r="120" spans="1:11" x14ac:dyDescent="0.25">
      <c r="A120" s="5" t="str">
        <f t="shared" si="37"/>
        <v>STEM</v>
      </c>
      <c r="B120" s="5" t="str">
        <f t="shared" si="37"/>
        <v>SPS3</v>
      </c>
      <c r="C120" s="5" t="str">
        <f t="shared" si="38"/>
        <v>CH</v>
      </c>
      <c r="D120" t="s">
        <v>620</v>
      </c>
      <c r="E120" t="str">
        <f t="shared" si="73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1.2088865058033315E-7</v>
      </c>
      <c r="J120" s="1">
        <f>'[1]Electricity and CHPs_IN'!P$23/SUM('[1]Electricity and CHPs_IN'!P$22:P$23)*J88</f>
        <v>2.5585537489019E-4</v>
      </c>
      <c r="K120" s="1">
        <f>'[1]Electricity and CHPs_IN'!Q$23/SUM('[1]Electricity and CHPs_IN'!Q$22:Q$23)*K88</f>
        <v>2.1750986474179763</v>
      </c>
    </row>
    <row r="121" spans="1:11" x14ac:dyDescent="0.25">
      <c r="A121" s="5" t="str">
        <f t="shared" si="37"/>
        <v>STEM</v>
      </c>
      <c r="B121" s="5" t="str">
        <f t="shared" si="37"/>
        <v>SPS3</v>
      </c>
      <c r="C121" s="5" t="str">
        <f t="shared" si="38"/>
        <v>CH</v>
      </c>
      <c r="D121" t="s">
        <v>621</v>
      </c>
      <c r="E121" t="str">
        <f t="shared" si="73"/>
        <v>PJ/yr.</v>
      </c>
      <c r="F121" s="1">
        <f>'[1]Electricity and CHPs_IN'!L$23/SUM('[1]Electricity and CHPs_IN'!L$22:L$23)*F89</f>
        <v>3.8375776942625272E-4</v>
      </c>
      <c r="G121" s="1">
        <f>'[1]Electricity and CHPs_IN'!M$23/SUM('[1]Electricity and CHPs_IN'!M$22:M$23)*G89</f>
        <v>2.6438869512711554E-4</v>
      </c>
      <c r="H121" s="1">
        <f>'[1]Electricity and CHPs_IN'!N$23/SUM('[1]Electricity and CHPs_IN'!N$22:N$23)*H89</f>
        <v>5.0399487784630326E-4</v>
      </c>
      <c r="I121" s="1">
        <f>'[1]Electricity and CHPs_IN'!O$23/SUM('[1]Electricity and CHPs_IN'!O$22:O$23)*I89</f>
        <v>5.74710639195862E-7</v>
      </c>
      <c r="J121" s="1">
        <f>'[1]Electricity and CHPs_IN'!P$23/SUM('[1]Electricity and CHPs_IN'!P$22:P$23)*J89</f>
        <v>8.7910160495636481E-4</v>
      </c>
      <c r="K121" s="1">
        <f>'[1]Electricity and CHPs_IN'!Q$23/SUM('[1]Electricity and CHPs_IN'!Q$22:Q$23)*K89</f>
        <v>1.3657314901948329E-3</v>
      </c>
    </row>
    <row r="122" spans="1:11" x14ac:dyDescent="0.25">
      <c r="A122" s="5" t="str">
        <f t="shared" si="37"/>
        <v>STEM</v>
      </c>
      <c r="B122" s="5" t="str">
        <f t="shared" si="37"/>
        <v>SPS3</v>
      </c>
      <c r="C122" s="5" t="str">
        <f t="shared" si="38"/>
        <v>CH</v>
      </c>
      <c r="D122" t="s">
        <v>622</v>
      </c>
      <c r="E122" t="str">
        <f t="shared" si="73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7.1210716024867898E-8</v>
      </c>
      <c r="J122" s="1">
        <f>'[1]Electricity and CHPs_IN'!P$23/SUM('[1]Electricity and CHPs_IN'!P$22:P$23)*J90</f>
        <v>1.5424234449152606E-4</v>
      </c>
      <c r="K122" s="1">
        <f>'[1]Electricity and CHPs_IN'!Q$23/SUM('[1]Electricity and CHPs_IN'!Q$22:Q$23)*K90</f>
        <v>3.8121401422121524E-4</v>
      </c>
    </row>
    <row r="123" spans="1:11" x14ac:dyDescent="0.25">
      <c r="A123" s="5" t="str">
        <f t="shared" si="37"/>
        <v>STEM</v>
      </c>
      <c r="B123" s="5" t="str">
        <f t="shared" si="37"/>
        <v>SPS3</v>
      </c>
      <c r="C123" s="5" t="str">
        <f t="shared" si="38"/>
        <v>CH</v>
      </c>
      <c r="D123" t="s">
        <v>623</v>
      </c>
      <c r="E123" t="str">
        <f t="shared" si="73"/>
        <v>PJ/yr.</v>
      </c>
      <c r="F123" s="1">
        <f>'[1]Electricity and CHPs_IN'!L$23/SUM('[1]Electricity and CHPs_IN'!L$22:L$23)*F91</f>
        <v>7.2065501683547882E-4</v>
      </c>
      <c r="G123" s="1">
        <f>'[1]Electricity and CHPs_IN'!M$23/SUM('[1]Electricity and CHPs_IN'!M$22:M$23)*G91</f>
        <v>8.14398731207871E-5</v>
      </c>
      <c r="H123" s="1">
        <f>'[1]Electricity and CHPs_IN'!N$23/SUM('[1]Electricity and CHPs_IN'!N$22:N$23)*H91</f>
        <v>6.6852542461873687E-4</v>
      </c>
      <c r="I123" s="1">
        <f>'[1]Electricity and CHPs_IN'!O$23/SUM('[1]Electricity and CHPs_IN'!O$22:O$23)*I91</f>
        <v>5.3491206424945585E-7</v>
      </c>
      <c r="J123" s="1">
        <f>'[1]Electricity and CHPs_IN'!P$23/SUM('[1]Electricity and CHPs_IN'!P$22:P$23)*J91</f>
        <v>0.22852880641798043</v>
      </c>
      <c r="K123" s="1">
        <f>'[1]Electricity and CHPs_IN'!Q$23/SUM('[1]Electricity and CHPs_IN'!Q$22:Q$23)*K91</f>
        <v>0.40960477060409423</v>
      </c>
    </row>
    <row r="124" spans="1:11" x14ac:dyDescent="0.25">
      <c r="A124" s="5" t="str">
        <f t="shared" si="37"/>
        <v>STEM</v>
      </c>
      <c r="B124" s="5" t="str">
        <f t="shared" si="37"/>
        <v>SPS3</v>
      </c>
      <c r="C124" s="5" t="str">
        <f t="shared" si="38"/>
        <v>CH</v>
      </c>
      <c r="D124" t="s">
        <v>624</v>
      </c>
      <c r="E124" t="str">
        <f t="shared" si="73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1.5927247799601795E-7</v>
      </c>
      <c r="J124" s="1">
        <f>'[1]Electricity and CHPs_IN'!P$23/SUM('[1]Electricity and CHPs_IN'!P$22:P$23)*J92</f>
        <v>7.3729746352845489E-3</v>
      </c>
      <c r="K124" s="1">
        <f>'[1]Electricity and CHPs_IN'!Q$23/SUM('[1]Electricity and CHPs_IN'!Q$22:Q$23)*K92</f>
        <v>8.1304016177637939E-2</v>
      </c>
    </row>
    <row r="125" spans="1:11" x14ac:dyDescent="0.25">
      <c r="A125" s="5" t="str">
        <f t="shared" si="37"/>
        <v>STEM</v>
      </c>
      <c r="B125" s="5" t="str">
        <f t="shared" si="37"/>
        <v>SPS3</v>
      </c>
      <c r="C125" s="5" t="str">
        <f t="shared" si="38"/>
        <v>CH</v>
      </c>
      <c r="D125" t="s">
        <v>625</v>
      </c>
      <c r="E125" t="str">
        <f t="shared" si="73"/>
        <v>PJ/yr.</v>
      </c>
      <c r="F125" s="1">
        <f t="shared" ref="F125:K125" si="74">F93</f>
        <v>0.95936608840194293</v>
      </c>
      <c r="G125" s="1">
        <f t="shared" si="74"/>
        <v>1.1059703314023126</v>
      </c>
      <c r="H125" s="1">
        <f t="shared" si="74"/>
        <v>1.1059698491146788</v>
      </c>
      <c r="I125" s="1">
        <f t="shared" si="74"/>
        <v>1.1059699414783823</v>
      </c>
      <c r="J125" s="1">
        <f t="shared" si="74"/>
        <v>1.106145232659695</v>
      </c>
      <c r="K125" s="1">
        <f t="shared" si="74"/>
        <v>1.1061457498503979</v>
      </c>
    </row>
    <row r="126" spans="1:11" x14ac:dyDescent="0.25">
      <c r="A126" s="5" t="str">
        <f t="shared" si="37"/>
        <v>STEM</v>
      </c>
      <c r="B126" s="5" t="str">
        <f t="shared" si="37"/>
        <v>SPS3</v>
      </c>
      <c r="C126" s="5" t="str">
        <f t="shared" si="38"/>
        <v>CH</v>
      </c>
      <c r="D126" t="s">
        <v>626</v>
      </c>
      <c r="E126" t="str">
        <f t="shared" si="73"/>
        <v>PJ/yr.</v>
      </c>
      <c r="F126" s="1">
        <f>'[1]Electricity and CHPs_IN'!L$23/SUM('[1]Electricity and CHPs_IN'!L$22:L$23)*F94</f>
        <v>1.5311667079869848E-2</v>
      </c>
      <c r="G126" s="1">
        <f>'[1]Electricity and CHPs_IN'!M$23/SUM('[1]Electricity and CHPs_IN'!M$22:M$23)*G94</f>
        <v>1.9820704192365545E-2</v>
      </c>
      <c r="H126" s="1">
        <f>'[1]Electricity and CHPs_IN'!N$23/SUM('[1]Electricity and CHPs_IN'!N$22:N$23)*H94</f>
        <v>2.4885744213434282E-4</v>
      </c>
      <c r="I126" s="1">
        <f>'[1]Electricity and CHPs_IN'!O$23/SUM('[1]Electricity and CHPs_IN'!O$22:O$23)*I94</f>
        <v>1.4021267508202622E-7</v>
      </c>
      <c r="J126" s="1">
        <f>'[1]Electricity and CHPs_IN'!P$23/SUM('[1]Electricity and CHPs_IN'!P$22:P$23)*J94</f>
        <v>1.1981587604196482E-3</v>
      </c>
      <c r="K126" s="1">
        <f>'[1]Electricity and CHPs_IN'!Q$23/SUM('[1]Electricity and CHPs_IN'!Q$22:Q$23)*K94</f>
        <v>1.6499063541478796E-4</v>
      </c>
    </row>
    <row r="127" spans="1:11" x14ac:dyDescent="0.25">
      <c r="A127" s="5" t="str">
        <f t="shared" si="37"/>
        <v>STEM</v>
      </c>
      <c r="B127" s="5" t="str">
        <f t="shared" si="37"/>
        <v>SPS3</v>
      </c>
      <c r="C127" s="5" t="str">
        <f t="shared" si="38"/>
        <v>CH</v>
      </c>
      <c r="D127" t="s">
        <v>627</v>
      </c>
      <c r="E127" t="str">
        <f t="shared" si="73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5.4140829176909525E-8</v>
      </c>
      <c r="J127" s="1">
        <f>'[1]Electricity and CHPs_IN'!P$23/SUM('[1]Electricity and CHPs_IN'!P$22:P$23)*J95</f>
        <v>9.9263861450795549E-4</v>
      </c>
      <c r="K127" s="1">
        <f>'[1]Electricity and CHPs_IN'!Q$23/SUM('[1]Electricity and CHPs_IN'!Q$22:Q$23)*K95</f>
        <v>2.7667735799387059E-2</v>
      </c>
    </row>
    <row r="128" spans="1:11" x14ac:dyDescent="0.25">
      <c r="A128" s="5" t="str">
        <f t="shared" si="37"/>
        <v>STEM</v>
      </c>
      <c r="B128" s="5" t="str">
        <f t="shared" si="37"/>
        <v>SPS3</v>
      </c>
      <c r="C128" s="5" t="str">
        <f t="shared" si="38"/>
        <v>CH</v>
      </c>
      <c r="D128" t="s">
        <v>800</v>
      </c>
      <c r="E128" t="str">
        <f t="shared" si="73"/>
        <v>PJ/yr.</v>
      </c>
      <c r="F128" s="1">
        <f>SUM(F129:F134)</f>
        <v>8.2546794739318141</v>
      </c>
      <c r="G128" s="1">
        <f t="shared" ref="G128:K128" si="75">SUM(G129:G134)</f>
        <v>8.9617247959892321</v>
      </c>
      <c r="H128" s="1">
        <f t="shared" si="75"/>
        <v>9.176020617837759</v>
      </c>
      <c r="I128" s="1">
        <f t="shared" si="75"/>
        <v>9.2764429875758392</v>
      </c>
      <c r="J128" s="1">
        <f t="shared" si="75"/>
        <v>9.4098895168004866</v>
      </c>
      <c r="K128" s="1">
        <f t="shared" si="75"/>
        <v>11.101476157891499</v>
      </c>
    </row>
    <row r="129" spans="1:17" x14ac:dyDescent="0.25">
      <c r="A129" s="5" t="str">
        <f t="shared" si="37"/>
        <v>STEM</v>
      </c>
      <c r="B129" s="5" t="str">
        <f t="shared" si="37"/>
        <v>SPS3</v>
      </c>
      <c r="C129" s="5" t="str">
        <f t="shared" si="38"/>
        <v>CH</v>
      </c>
      <c r="D129" t="s">
        <v>53</v>
      </c>
      <c r="E129" t="str">
        <f>E73</f>
        <v>PJ/yr.</v>
      </c>
      <c r="F129" s="1">
        <f>'[1]Electricity and CHPs'!B19</f>
        <v>6.5070006277525021</v>
      </c>
      <c r="G129" s="1">
        <f>'[1]Electricity and CHPs'!C19</f>
        <v>7.3204333530632599</v>
      </c>
      <c r="H129" s="1">
        <f>'[1]Electricity and CHPs'!D19</f>
        <v>7.4118141401359061</v>
      </c>
      <c r="I129" s="1">
        <f>'[1]Electricity and CHPs'!E19</f>
        <v>7.488393310104744</v>
      </c>
      <c r="J129" s="1">
        <f>'[1]Electricity and CHPs'!F19</f>
        <v>7.6644343538793649</v>
      </c>
      <c r="K129" s="1">
        <f>'[1]Electricity and CHPs'!G19</f>
        <v>4.6534311147955494</v>
      </c>
    </row>
    <row r="130" spans="1:17" x14ac:dyDescent="0.25">
      <c r="A130" s="5" t="str">
        <f t="shared" si="37"/>
        <v>STEM</v>
      </c>
      <c r="B130" s="5" t="str">
        <f t="shared" si="37"/>
        <v>SPS3</v>
      </c>
      <c r="C130" s="5" t="str">
        <f t="shared" si="38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3.5488565471105534E-3</v>
      </c>
      <c r="K130" s="1">
        <f>'[1]Electricity and CHPs'!G20</f>
        <v>4.4441163100080994</v>
      </c>
    </row>
    <row r="131" spans="1:17" x14ac:dyDescent="0.25">
      <c r="A131" s="5" t="str">
        <f t="shared" si="37"/>
        <v>STEM</v>
      </c>
      <c r="B131" s="5" t="str">
        <f t="shared" si="37"/>
        <v>SPS3</v>
      </c>
      <c r="C131" s="5" t="str">
        <f t="shared" si="38"/>
        <v>CH</v>
      </c>
      <c r="D131" t="s">
        <v>51</v>
      </c>
      <c r="E131" t="str">
        <f>E150</f>
        <v>PJ/yr.</v>
      </c>
      <c r="F131" s="1">
        <f>'[1]Electricity and CHPs'!B26</f>
        <v>1.5176367078336552</v>
      </c>
      <c r="G131" s="1">
        <f>'[1]Electricity and CHPs'!C26</f>
        <v>1.4147443998290588</v>
      </c>
      <c r="H131" s="1">
        <f>'[1]Electricity and CHPs'!D26</f>
        <v>1.4274994854869165</v>
      </c>
      <c r="I131" s="1">
        <f>'[1]Electricity and CHPs'!E26</f>
        <v>1.4443390003938474</v>
      </c>
      <c r="J131" s="1">
        <f>'[1]Electricity and CHPs'!F26</f>
        <v>1.4204502357961379</v>
      </c>
      <c r="K131" s="1">
        <f>'[1]Electricity and CHPs'!G26</f>
        <v>0.6993096040007365</v>
      </c>
    </row>
    <row r="132" spans="1:17" x14ac:dyDescent="0.25">
      <c r="A132" s="5" t="str">
        <f t="shared" si="37"/>
        <v>STEM</v>
      </c>
      <c r="B132" s="5" t="str">
        <f t="shared" si="37"/>
        <v>SPS3</v>
      </c>
      <c r="C132" s="5" t="str">
        <f t="shared" si="38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5.9397313076087264E-4</v>
      </c>
      <c r="K132" s="1">
        <f>'[1]Electricity and CHPs'!G27</f>
        <v>0.71175194039821144</v>
      </c>
    </row>
    <row r="133" spans="1:17" x14ac:dyDescent="0.25">
      <c r="A133" s="5" t="str">
        <f t="shared" si="37"/>
        <v>STEM</v>
      </c>
      <c r="B133" s="5" t="str">
        <f t="shared" si="37"/>
        <v>SPS3</v>
      </c>
      <c r="C133" s="5" t="str">
        <f t="shared" si="38"/>
        <v>CH</v>
      </c>
      <c r="D133" t="s">
        <v>48</v>
      </c>
      <c r="E133" t="str">
        <f>E153</f>
        <v>PJ/yr.</v>
      </c>
      <c r="F133" s="1">
        <f>'[1]Electricity and CHPs'!B44</f>
        <v>0.23004213834565715</v>
      </c>
      <c r="G133" s="1">
        <f>'[1]Electricity and CHPs'!C44</f>
        <v>0.22654704309691229</v>
      </c>
      <c r="H133" s="1">
        <f>'[1]Electricity and CHPs'!D44</f>
        <v>0.33670699221493644</v>
      </c>
      <c r="I133" s="1">
        <f>'[1]Electricity and CHPs'!E44</f>
        <v>0.34371067707724789</v>
      </c>
      <c r="J133" s="1">
        <f>'[1]Electricity and CHPs'!F44</f>
        <v>0.26075780635625556</v>
      </c>
      <c r="K133" s="1">
        <f>'[1]Electricity and CHPs'!G44</f>
        <v>1.1978763695081717E-4</v>
      </c>
    </row>
    <row r="134" spans="1:17" x14ac:dyDescent="0.25">
      <c r="A134" s="5" t="str">
        <f t="shared" si="37"/>
        <v>STEM</v>
      </c>
      <c r="B134" s="5" t="str">
        <f t="shared" si="37"/>
        <v>SPS3</v>
      </c>
      <c r="C134" s="5" t="str">
        <f t="shared" si="38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6.010429109085777E-2</v>
      </c>
      <c r="K134" s="1">
        <f>'[1]Electricity and CHPs'!G45</f>
        <v>0.59274740105195012</v>
      </c>
    </row>
    <row r="135" spans="1:17" x14ac:dyDescent="0.25">
      <c r="A135" s="5" t="str">
        <f t="shared" si="37"/>
        <v>STEM</v>
      </c>
      <c r="B135" s="5" t="str">
        <f t="shared" si="37"/>
        <v>SPS3</v>
      </c>
      <c r="C135" s="5" t="str">
        <f t="shared" si="38"/>
        <v>CH</v>
      </c>
      <c r="D135" t="s">
        <v>89</v>
      </c>
      <c r="E135" t="str">
        <f t="shared" ref="E135:E149" si="76">E134</f>
        <v>PJ/yr.</v>
      </c>
      <c r="F135" s="1">
        <f>SUM(F136:F139)</f>
        <v>4.0123186677930782</v>
      </c>
      <c r="G135" s="1">
        <f t="shared" ref="G135:K135" si="77">SUM(G136:G139)</f>
        <v>4.3675888764461597</v>
      </c>
      <c r="H135" s="1">
        <f t="shared" si="77"/>
        <v>4.4196568128114109</v>
      </c>
      <c r="I135" s="1">
        <f t="shared" si="77"/>
        <v>4.4663661552492959</v>
      </c>
      <c r="J135" s="1">
        <f t="shared" si="77"/>
        <v>4.5445137096766866</v>
      </c>
      <c r="K135" s="1">
        <f t="shared" si="77"/>
        <v>5.254304484601299</v>
      </c>
      <c r="M135" s="1"/>
      <c r="N135" s="1"/>
      <c r="O135" s="1"/>
      <c r="P135" s="1"/>
      <c r="Q135" s="1"/>
    </row>
    <row r="136" spans="1:17" x14ac:dyDescent="0.25">
      <c r="A136" s="5" t="str">
        <f t="shared" si="37"/>
        <v>STEM</v>
      </c>
      <c r="B136" s="5" t="str">
        <f t="shared" si="37"/>
        <v>SPS3</v>
      </c>
      <c r="C136" s="5" t="str">
        <f t="shared" si="38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3.253500313876251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3.66021667653163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3.7059070700679531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3.7441966550523724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3.8322171769396824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2.3267155573977747</v>
      </c>
    </row>
    <row r="137" spans="1:17" x14ac:dyDescent="0.25">
      <c r="A137" s="5" t="str">
        <f t="shared" si="37"/>
        <v>STEM</v>
      </c>
      <c r="B137" s="5" t="str">
        <f t="shared" si="37"/>
        <v>SPS3</v>
      </c>
      <c r="C137" s="5" t="str">
        <f t="shared" si="38"/>
        <v>CH</v>
      </c>
      <c r="D137" t="s">
        <v>61</v>
      </c>
      <c r="E137" t="str">
        <f t="shared" si="76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1.7744282735552767E-3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2.2220581550040497</v>
      </c>
    </row>
    <row r="138" spans="1:17" x14ac:dyDescent="0.25">
      <c r="A138" s="5" t="str">
        <f t="shared" si="37"/>
        <v>STEM</v>
      </c>
      <c r="B138" s="5" t="str">
        <f t="shared" si="37"/>
        <v>SPS3</v>
      </c>
      <c r="C138" s="5" t="str">
        <f t="shared" si="38"/>
        <v>CH</v>
      </c>
      <c r="D138" t="s">
        <v>62</v>
      </c>
      <c r="E138" t="str">
        <f t="shared" si="76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0.75881835391682761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0.70737219991452938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0.71374974274345826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0.72216950019692383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0.71022511789806897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0.34965480200036819</v>
      </c>
    </row>
    <row r="139" spans="1:17" x14ac:dyDescent="0.25">
      <c r="A139" s="5" t="str">
        <f t="shared" si="37"/>
        <v>STEM</v>
      </c>
      <c r="B139" s="5" t="str">
        <f t="shared" si="37"/>
        <v>SPS3</v>
      </c>
      <c r="C139" s="5" t="str">
        <f t="shared" si="38"/>
        <v>CH</v>
      </c>
      <c r="D139" t="s">
        <v>63</v>
      </c>
      <c r="E139" t="str">
        <f t="shared" si="76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2.9698656538043632E-4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0.35587597019910572</v>
      </c>
    </row>
    <row r="140" spans="1:17" x14ac:dyDescent="0.25">
      <c r="A140" s="5" t="str">
        <f t="shared" si="37"/>
        <v>STEM</v>
      </c>
      <c r="B140" s="5" t="str">
        <f t="shared" si="37"/>
        <v>SPS3</v>
      </c>
      <c r="C140" s="5" t="str">
        <f t="shared" si="38"/>
        <v>CH</v>
      </c>
      <c r="D140" t="s">
        <v>64</v>
      </c>
      <c r="E140" t="str">
        <f t="shared" si="76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37"/>
        <v>STEM</v>
      </c>
      <c r="B141" s="5" t="str">
        <f t="shared" si="37"/>
        <v>SPS3</v>
      </c>
      <c r="C141" s="5" t="str">
        <f t="shared" si="38"/>
        <v>CH</v>
      </c>
      <c r="D141" t="s">
        <v>65</v>
      </c>
      <c r="E141" t="str">
        <f t="shared" si="76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37"/>
        <v>STEM</v>
      </c>
      <c r="B142" s="5" t="str">
        <f t="shared" si="37"/>
        <v>SPS3</v>
      </c>
      <c r="C142" s="5" t="str">
        <f t="shared" si="38"/>
        <v>CH</v>
      </c>
      <c r="D142" t="s">
        <v>801</v>
      </c>
      <c r="E142" t="str">
        <f>E141</f>
        <v>PJ/yr.</v>
      </c>
      <c r="F142" s="1">
        <f>SUM(F143:F148)</f>
        <v>4.242360806138735</v>
      </c>
      <c r="G142" s="1">
        <f t="shared" ref="G142:K142" si="78">SUM(G143:G148)</f>
        <v>4.5941359195430715</v>
      </c>
      <c r="H142" s="1">
        <f t="shared" si="78"/>
        <v>4.7563638050263473</v>
      </c>
      <c r="I142" s="1">
        <f t="shared" si="78"/>
        <v>4.8100768323265433</v>
      </c>
      <c r="J142" s="1">
        <f t="shared" si="78"/>
        <v>4.8653758071238</v>
      </c>
      <c r="K142" s="1">
        <f t="shared" si="78"/>
        <v>5.8471716732901999</v>
      </c>
    </row>
    <row r="143" spans="1:17" x14ac:dyDescent="0.25">
      <c r="A143" s="5" t="str">
        <f t="shared" si="37"/>
        <v>STEM</v>
      </c>
      <c r="B143" s="5" t="str">
        <f t="shared" si="37"/>
        <v>SPS3</v>
      </c>
      <c r="C143" s="5" t="str">
        <f t="shared" si="38"/>
        <v>CH</v>
      </c>
      <c r="D143" t="s">
        <v>56</v>
      </c>
      <c r="E143" t="str">
        <f>E142</f>
        <v>PJ/yr.</v>
      </c>
      <c r="F143" s="1">
        <f>F129-F136</f>
        <v>3.253500313876251</v>
      </c>
      <c r="G143" s="1">
        <f t="shared" ref="G143:K143" si="79">G129-G136</f>
        <v>3.66021667653163</v>
      </c>
      <c r="H143" s="1">
        <f t="shared" si="79"/>
        <v>3.7059070700679531</v>
      </c>
      <c r="I143" s="1">
        <f t="shared" si="79"/>
        <v>3.7441966550523715</v>
      </c>
      <c r="J143" s="1">
        <f t="shared" si="79"/>
        <v>3.8322171769396824</v>
      </c>
      <c r="K143" s="1">
        <f t="shared" si="79"/>
        <v>2.3267155573977747</v>
      </c>
    </row>
    <row r="144" spans="1:17" x14ac:dyDescent="0.25">
      <c r="A144" s="5" t="str">
        <f t="shared" si="37"/>
        <v>STEM</v>
      </c>
      <c r="B144" s="5" t="str">
        <f t="shared" si="37"/>
        <v>SPS3</v>
      </c>
      <c r="C144" s="5" t="str">
        <f t="shared" si="38"/>
        <v>CH</v>
      </c>
      <c r="D144" t="s">
        <v>57</v>
      </c>
      <c r="E144" t="str">
        <f t="shared" si="76"/>
        <v>PJ/yr.</v>
      </c>
      <c r="F144" s="1">
        <f t="shared" ref="F144:K144" si="80">F130-F137</f>
        <v>0</v>
      </c>
      <c r="G144" s="1">
        <f t="shared" si="80"/>
        <v>0</v>
      </c>
      <c r="H144" s="1">
        <f t="shared" si="80"/>
        <v>0</v>
      </c>
      <c r="I144" s="1">
        <f t="shared" si="80"/>
        <v>0</v>
      </c>
      <c r="J144" s="1">
        <f t="shared" si="80"/>
        <v>1.7744282735552767E-3</v>
      </c>
      <c r="K144" s="1">
        <f t="shared" si="80"/>
        <v>2.2220581550040497</v>
      </c>
    </row>
    <row r="145" spans="1:11" x14ac:dyDescent="0.25">
      <c r="A145" s="5" t="str">
        <f t="shared" si="37"/>
        <v>STEM</v>
      </c>
      <c r="B145" s="5" t="str">
        <f t="shared" si="37"/>
        <v>SPS3</v>
      </c>
      <c r="C145" s="5" t="str">
        <f t="shared" si="38"/>
        <v>CH</v>
      </c>
      <c r="D145" t="s">
        <v>58</v>
      </c>
      <c r="E145" t="str">
        <f t="shared" si="76"/>
        <v>PJ/yr.</v>
      </c>
      <c r="F145" s="1">
        <f t="shared" ref="F145:K145" si="81">F131-F138</f>
        <v>0.75881835391682761</v>
      </c>
      <c r="G145" s="1">
        <f t="shared" si="81"/>
        <v>0.70737219991452938</v>
      </c>
      <c r="H145" s="1">
        <f t="shared" si="81"/>
        <v>0.71374974274345826</v>
      </c>
      <c r="I145" s="1">
        <f t="shared" si="81"/>
        <v>0.72216950019692361</v>
      </c>
      <c r="J145" s="1">
        <f t="shared" si="81"/>
        <v>0.71022511789806897</v>
      </c>
      <c r="K145" s="1">
        <f t="shared" si="81"/>
        <v>0.3496548020003683</v>
      </c>
    </row>
    <row r="146" spans="1:11" x14ac:dyDescent="0.25">
      <c r="A146" s="5" t="str">
        <f t="shared" si="37"/>
        <v>STEM</v>
      </c>
      <c r="B146" s="5" t="str">
        <f t="shared" si="37"/>
        <v>SPS3</v>
      </c>
      <c r="C146" s="5" t="str">
        <f t="shared" si="38"/>
        <v>CH</v>
      </c>
      <c r="D146" t="s">
        <v>59</v>
      </c>
      <c r="E146" t="str">
        <f t="shared" si="76"/>
        <v>PJ/yr.</v>
      </c>
      <c r="F146" s="1">
        <f t="shared" ref="F146:K146" si="82">F132-F139</f>
        <v>0</v>
      </c>
      <c r="G146" s="1">
        <f t="shared" si="82"/>
        <v>0</v>
      </c>
      <c r="H146" s="1">
        <f t="shared" si="82"/>
        <v>0</v>
      </c>
      <c r="I146" s="1">
        <f t="shared" si="82"/>
        <v>0</v>
      </c>
      <c r="J146" s="1">
        <f t="shared" si="82"/>
        <v>2.9698656538043632E-4</v>
      </c>
      <c r="K146" s="1">
        <f t="shared" si="82"/>
        <v>0.35587597019910572</v>
      </c>
    </row>
    <row r="147" spans="1:11" x14ac:dyDescent="0.25">
      <c r="A147" s="5" t="str">
        <f t="shared" si="37"/>
        <v>STEM</v>
      </c>
      <c r="B147" s="5" t="str">
        <f t="shared" si="37"/>
        <v>SPS3</v>
      </c>
      <c r="C147" s="5" t="str">
        <f t="shared" si="38"/>
        <v>CH</v>
      </c>
      <c r="D147" t="s">
        <v>54</v>
      </c>
      <c r="E147" t="str">
        <f t="shared" si="76"/>
        <v>PJ/yr.</v>
      </c>
      <c r="F147" s="1">
        <f t="shared" ref="F147:K147" si="83">F133-F140</f>
        <v>0.23004213834565715</v>
      </c>
      <c r="G147" s="1">
        <f t="shared" si="83"/>
        <v>0.22654704309691229</v>
      </c>
      <c r="H147" s="1">
        <f t="shared" si="83"/>
        <v>0.33670699221493644</v>
      </c>
      <c r="I147" s="1">
        <f t="shared" si="83"/>
        <v>0.34371067707724789</v>
      </c>
      <c r="J147" s="1">
        <f t="shared" si="83"/>
        <v>0.26075780635625556</v>
      </c>
      <c r="K147" s="1">
        <f t="shared" si="83"/>
        <v>1.1978763695081717E-4</v>
      </c>
    </row>
    <row r="148" spans="1:11" x14ac:dyDescent="0.25">
      <c r="A148" s="5" t="str">
        <f t="shared" ref="A148:B179" si="84">A147</f>
        <v>STEM</v>
      </c>
      <c r="B148" s="5" t="str">
        <f t="shared" si="84"/>
        <v>SPS3</v>
      </c>
      <c r="C148" s="5" t="str">
        <f t="shared" ref="C148:C179" si="85">C147</f>
        <v>CH</v>
      </c>
      <c r="D148" t="s">
        <v>55</v>
      </c>
      <c r="E148" t="str">
        <f t="shared" si="76"/>
        <v>PJ/yr.</v>
      </c>
      <c r="F148" s="1">
        <f t="shared" ref="F148:K148" si="86">F134-F141</f>
        <v>0</v>
      </c>
      <c r="G148" s="1">
        <f t="shared" si="86"/>
        <v>0</v>
      </c>
      <c r="H148" s="1">
        <f t="shared" si="86"/>
        <v>0</v>
      </c>
      <c r="I148" s="1">
        <f t="shared" si="86"/>
        <v>0</v>
      </c>
      <c r="J148" s="1">
        <f t="shared" si="86"/>
        <v>6.010429109085777E-2</v>
      </c>
      <c r="K148" s="1">
        <f t="shared" si="86"/>
        <v>0.59274740105195012</v>
      </c>
    </row>
    <row r="149" spans="1:11" x14ac:dyDescent="0.25">
      <c r="A149" s="5" t="str">
        <f t="shared" si="84"/>
        <v>STEM</v>
      </c>
      <c r="B149" s="5" t="str">
        <f t="shared" si="84"/>
        <v>SPS3</v>
      </c>
      <c r="C149" s="5" t="str">
        <f t="shared" si="85"/>
        <v>CH</v>
      </c>
      <c r="D149" t="s">
        <v>802</v>
      </c>
      <c r="E149" t="str">
        <f t="shared" si="76"/>
        <v>PJ/yr.</v>
      </c>
      <c r="F149" s="1">
        <f>SUM(F150:F156)</f>
        <v>0.5651975471571693</v>
      </c>
      <c r="G149" s="1">
        <f t="shared" ref="G149:K149" si="87">SUM(G150:G156)</f>
        <v>0.56520755091252683</v>
      </c>
      <c r="H149" s="1">
        <f t="shared" si="87"/>
        <v>1.1407267252753244</v>
      </c>
      <c r="I149" s="1">
        <f t="shared" si="87"/>
        <v>1.5417756596530283</v>
      </c>
      <c r="J149" s="1">
        <f t="shared" si="87"/>
        <v>4.5428483610922932</v>
      </c>
      <c r="K149" s="1">
        <f t="shared" si="87"/>
        <v>6.9412411558757494</v>
      </c>
    </row>
    <row r="150" spans="1:11" x14ac:dyDescent="0.25">
      <c r="A150" s="5" t="str">
        <f t="shared" si="84"/>
        <v>STEM</v>
      </c>
      <c r="B150" s="5" t="str">
        <f t="shared" si="84"/>
        <v>SPS3</v>
      </c>
      <c r="C150" s="5" t="str">
        <f t="shared" si="85"/>
        <v>CH</v>
      </c>
      <c r="D150" t="s">
        <v>66</v>
      </c>
      <c r="E150" t="str">
        <f>E84</f>
        <v>PJ/yr.</v>
      </c>
      <c r="F150" s="1">
        <f>'[1]Electricity and CHPs'!B25</f>
        <v>0.39264219267777456</v>
      </c>
      <c r="G150" s="1">
        <f>'[1]Electricity and CHPs'!C25</f>
        <v>4.3608106281777831E-2</v>
      </c>
      <c r="H150" s="1">
        <f>'[1]Electricity and CHPs'!D25</f>
        <v>7.4994203475084705E-3</v>
      </c>
      <c r="I150" s="1">
        <f>'[1]Electricity and CHPs'!E25</f>
        <v>3.6619370746073389E-2</v>
      </c>
      <c r="J150" s="1">
        <f>'[1]Electricity and CHPs'!F25</f>
        <v>1.9950317503890072</v>
      </c>
      <c r="K150" s="1">
        <f>'[1]Electricity and CHPs'!G25</f>
        <v>2.4633978301012287</v>
      </c>
    </row>
    <row r="151" spans="1:11" x14ac:dyDescent="0.25">
      <c r="A151" s="5" t="str">
        <f t="shared" si="84"/>
        <v>STEM</v>
      </c>
      <c r="B151" s="5" t="str">
        <f t="shared" si="84"/>
        <v>SPS3</v>
      </c>
      <c r="C151" s="5" t="str">
        <f t="shared" si="8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5.8554264704419056E-4</v>
      </c>
      <c r="K151" s="1">
        <f>'[1]Electricity and CHPs'!G31</f>
        <v>1.0544997213019536</v>
      </c>
    </row>
    <row r="152" spans="1:11" x14ac:dyDescent="0.25">
      <c r="A152" s="5" t="str">
        <f t="shared" si="84"/>
        <v>STEM</v>
      </c>
      <c r="B152" s="5" t="str">
        <f t="shared" si="84"/>
        <v>SPS3</v>
      </c>
      <c r="C152" s="5" t="str">
        <f t="shared" si="85"/>
        <v>CH</v>
      </c>
      <c r="D152" t="s">
        <v>68</v>
      </c>
      <c r="E152" t="str">
        <f>E75</f>
        <v>PJ/yr.</v>
      </c>
      <c r="F152" s="1">
        <f>'[1]Electricity and CHPs'!B42</f>
        <v>0.17255535447939477</v>
      </c>
      <c r="G152" s="1">
        <f>'[1]Electricity and CHPs'!C42</f>
        <v>0.52159944463074903</v>
      </c>
      <c r="H152" s="1">
        <f>'[1]Electricity and CHPs'!D42</f>
        <v>1.1332273049278159</v>
      </c>
      <c r="I152" s="1">
        <f>'[1]Electricity and CHPs'!E42</f>
        <v>1.4971256597424241</v>
      </c>
      <c r="J152" s="1">
        <f>'[1]Electricity and CHPs'!F42</f>
        <v>1.9138748701632613</v>
      </c>
      <c r="K152" s="1">
        <f>'[1]Electricity and CHPs'!G42</f>
        <v>0.39470482369427667</v>
      </c>
    </row>
    <row r="153" spans="1:11" x14ac:dyDescent="0.25">
      <c r="A153" s="5" t="str">
        <f t="shared" si="84"/>
        <v>STEM</v>
      </c>
      <c r="B153" s="5" t="str">
        <f t="shared" si="84"/>
        <v>SPS3</v>
      </c>
      <c r="C153" s="5" t="str">
        <f t="shared" si="8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0.62711815667217086</v>
      </c>
      <c r="K153" s="1">
        <f>'[1]Electricity and CHPs'!G43</f>
        <v>3.0255107086520172</v>
      </c>
    </row>
    <row r="154" spans="1:11" x14ac:dyDescent="0.25">
      <c r="A154" s="5" t="str">
        <f t="shared" si="84"/>
        <v>STEM</v>
      </c>
      <c r="B154" s="5" t="str">
        <f t="shared" si="84"/>
        <v>SPS3</v>
      </c>
      <c r="C154" s="5" t="str">
        <f t="shared" si="8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1.7513936786638746E-3</v>
      </c>
      <c r="J154" s="1">
        <f>'[1]Electricity and CHPs'!F50</f>
        <v>1.6267138727612059E-3</v>
      </c>
      <c r="K154" s="1">
        <f>'[1]Electricity and CHPs'!G50</f>
        <v>8.8195177401438054E-4</v>
      </c>
    </row>
    <row r="155" spans="1:11" x14ac:dyDescent="0.25">
      <c r="A155" s="5" t="str">
        <f t="shared" si="84"/>
        <v>STEM</v>
      </c>
      <c r="B155" s="5" t="str">
        <f t="shared" si="84"/>
        <v>SPS3</v>
      </c>
      <c r="C155" s="5" t="str">
        <f t="shared" si="8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5.7299064998421294E-3</v>
      </c>
      <c r="J155" s="1">
        <f>'[1]Electricity and CHPs'!F53</f>
        <v>3.4883570980816692E-3</v>
      </c>
      <c r="K155" s="1">
        <f>'[1]Electricity and CHPs'!G53</f>
        <v>1.8595100617443965E-3</v>
      </c>
    </row>
    <row r="156" spans="1:11" x14ac:dyDescent="0.25">
      <c r="A156" s="5" t="str">
        <f t="shared" si="84"/>
        <v>STEM</v>
      </c>
      <c r="B156" s="5" t="str">
        <f t="shared" si="84"/>
        <v>SPS3</v>
      </c>
      <c r="C156" s="5" t="str">
        <f t="shared" si="8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5.4932898602473861E-4</v>
      </c>
      <c r="J156" s="1">
        <f>'[1]Electricity and CHPs'!F56</f>
        <v>1.1229702499674097E-3</v>
      </c>
      <c r="K156" s="1">
        <f>'[1]Electricity and CHPs'!G56</f>
        <v>3.8661029051496925E-4</v>
      </c>
    </row>
    <row r="157" spans="1:11" x14ac:dyDescent="0.25">
      <c r="A157" s="5" t="str">
        <f t="shared" si="84"/>
        <v>STEM</v>
      </c>
      <c r="B157" s="5" t="str">
        <f t="shared" si="84"/>
        <v>SPS3</v>
      </c>
      <c r="C157" s="5" t="str">
        <f t="shared" si="8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88">G158</f>
        <v>0.54529225122661173</v>
      </c>
      <c r="H157" s="1">
        <f t="shared" si="88"/>
        <v>0.50322602221778379</v>
      </c>
      <c r="I157" s="1">
        <f t="shared" si="88"/>
        <v>1.088219349295845</v>
      </c>
      <c r="J157" s="1">
        <f t="shared" si="88"/>
        <v>3.0600118362774396</v>
      </c>
      <c r="K157" s="1">
        <f t="shared" si="88"/>
        <v>6.1200009293579667</v>
      </c>
    </row>
    <row r="158" spans="1:11" x14ac:dyDescent="0.25">
      <c r="A158" s="5" t="str">
        <f t="shared" si="84"/>
        <v>STEM</v>
      </c>
      <c r="B158" s="5" t="str">
        <f t="shared" si="84"/>
        <v>SPS3</v>
      </c>
      <c r="C158" s="5" t="str">
        <f t="shared" si="8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0.54529225122661173</v>
      </c>
      <c r="H158" s="1">
        <f>'[1]Electricity and CHPs'!D33</f>
        <v>0.50322602221778379</v>
      </c>
      <c r="I158" s="1">
        <f>'[1]Electricity and CHPs'!E33</f>
        <v>1.088219349295845</v>
      </c>
      <c r="J158" s="1">
        <f>'[1]Electricity and CHPs'!F33</f>
        <v>3.0600118362774396</v>
      </c>
      <c r="K158" s="1">
        <f>'[1]Electricity and CHPs'!G33</f>
        <v>6.1200009293579667</v>
      </c>
    </row>
    <row r="159" spans="1:11" x14ac:dyDescent="0.25">
      <c r="A159" s="5" t="str">
        <f t="shared" si="84"/>
        <v>STEM</v>
      </c>
      <c r="B159" s="5" t="str">
        <f t="shared" si="84"/>
        <v>SPS3</v>
      </c>
      <c r="C159" s="5" t="str">
        <f t="shared" si="8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89">SUM(G160:G164)</f>
        <v>12.822642872738911</v>
      </c>
      <c r="H159" s="1">
        <f t="shared" si="89"/>
        <v>28.800005409769255</v>
      </c>
      <c r="I159" s="1">
        <f t="shared" si="89"/>
        <v>63.696060402335689</v>
      </c>
      <c r="J159" s="1">
        <f t="shared" si="89"/>
        <v>79.14503454779117</v>
      </c>
      <c r="K159" s="1">
        <f t="shared" si="89"/>
        <v>89.999994941383633</v>
      </c>
    </row>
    <row r="160" spans="1:11" x14ac:dyDescent="0.25">
      <c r="A160" s="5" t="str">
        <f t="shared" si="84"/>
        <v>STEM</v>
      </c>
      <c r="B160" s="5" t="str">
        <f t="shared" si="84"/>
        <v>SPS3</v>
      </c>
      <c r="C160" s="5" t="str">
        <f t="shared" si="8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0.14079953432808703</v>
      </c>
      <c r="I160" s="1">
        <f>'[1]Electricity and CHPs'!E34</f>
        <v>4.8491659751166152</v>
      </c>
      <c r="J160" s="1">
        <f>'[1]Electricity and CHPs'!F34</f>
        <v>4.8517211651252916</v>
      </c>
      <c r="K160" s="1">
        <f>'[1]Electricity and CHPs'!G34</f>
        <v>4.6390501257709511</v>
      </c>
    </row>
    <row r="161" spans="1:11" x14ac:dyDescent="0.25">
      <c r="A161" s="5" t="str">
        <f t="shared" si="84"/>
        <v>STEM</v>
      </c>
      <c r="B161" s="5" t="str">
        <f t="shared" si="84"/>
        <v>SPS3</v>
      </c>
      <c r="C161" s="5" t="str">
        <f t="shared" si="8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4.8498359267292228</v>
      </c>
      <c r="H161" s="1">
        <f>'[1]Electricity and CHPs'!D35</f>
        <v>9.5944986244111021</v>
      </c>
      <c r="I161" s="1">
        <f>'[1]Electricity and CHPs'!E35</f>
        <v>17.736887719519139</v>
      </c>
      <c r="J161" s="1">
        <f>'[1]Electricity and CHPs'!F35</f>
        <v>33.151371944662564</v>
      </c>
      <c r="K161" s="1">
        <f>'[1]Electricity and CHPs'!G35</f>
        <v>51.000303784876223</v>
      </c>
    </row>
    <row r="162" spans="1:11" x14ac:dyDescent="0.25">
      <c r="A162" s="5" t="str">
        <f t="shared" si="84"/>
        <v>STEM</v>
      </c>
      <c r="B162" s="5" t="str">
        <f t="shared" si="84"/>
        <v>SPS3</v>
      </c>
      <c r="C162" s="5" t="str">
        <f t="shared" si="8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3.3907132089156446</v>
      </c>
      <c r="H162" s="1">
        <f>'[1]Electricity and CHPs'!D36</f>
        <v>8.0482196446336349</v>
      </c>
      <c r="I162" s="1">
        <f>'[1]Electricity and CHPs'!E36</f>
        <v>14.087836436121661</v>
      </c>
      <c r="J162" s="1">
        <f>'[1]Electricity and CHPs'!F36</f>
        <v>11.292613048179998</v>
      </c>
      <c r="K162" s="1">
        <f>'[1]Electricity and CHPs'!G36</f>
        <v>1.3883910430851205</v>
      </c>
    </row>
    <row r="163" spans="1:11" x14ac:dyDescent="0.25">
      <c r="A163" s="5" t="str">
        <f t="shared" si="84"/>
        <v>STEM</v>
      </c>
      <c r="B163" s="5" t="str">
        <f t="shared" si="84"/>
        <v>SPS3</v>
      </c>
      <c r="C163" s="5" t="str">
        <f t="shared" si="8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1.2876385226786284</v>
      </c>
      <c r="H163" s="1">
        <f>'[1]Electricity and CHPs'!D37</f>
        <v>4.184099486117959</v>
      </c>
      <c r="I163" s="1">
        <f>'[1]Electricity and CHPs'!E37</f>
        <v>9.1198275356946468</v>
      </c>
      <c r="J163" s="1">
        <f>'[1]Electricity and CHPs'!F37</f>
        <v>10.073996992066899</v>
      </c>
      <c r="K163" s="1">
        <f>'[1]Electricity and CHPs'!G37</f>
        <v>11.127978604662303</v>
      </c>
    </row>
    <row r="164" spans="1:11" x14ac:dyDescent="0.25">
      <c r="A164" s="5" t="str">
        <f t="shared" si="84"/>
        <v>STEM</v>
      </c>
      <c r="B164" s="5" t="str">
        <f t="shared" si="84"/>
        <v>SPS3</v>
      </c>
      <c r="C164" s="5" t="str">
        <f t="shared" si="8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3.294455214415414</v>
      </c>
      <c r="H164" s="1">
        <f>'[1]Electricity and CHPs'!D38</f>
        <v>6.8323881202784733</v>
      </c>
      <c r="I164" s="1">
        <f>'[1]Electricity and CHPs'!E38</f>
        <v>17.902342735883629</v>
      </c>
      <c r="J164" s="1">
        <f>'[1]Electricity and CHPs'!F38</f>
        <v>19.775331397756425</v>
      </c>
      <c r="K164" s="1">
        <f>'[1]Electricity and CHPs'!G38</f>
        <v>21.844271382989032</v>
      </c>
    </row>
    <row r="165" spans="1:11" x14ac:dyDescent="0.25">
      <c r="A165" s="5" t="str">
        <f>A168</f>
        <v>STEM</v>
      </c>
      <c r="B165" s="5" t="str">
        <f t="shared" si="84"/>
        <v>SPS3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</v>
      </c>
      <c r="K165" s="1">
        <f>'[1]Electricity and CHPs'!G32</f>
        <v>0</v>
      </c>
    </row>
    <row r="166" spans="1:11" x14ac:dyDescent="0.25">
      <c r="A166" s="5" t="str">
        <f t="shared" ref="A166" si="90">A165</f>
        <v>STEM</v>
      </c>
      <c r="B166" s="5" t="str">
        <f t="shared" si="84"/>
        <v>SPS3</v>
      </c>
      <c r="C166" s="5" t="str">
        <f t="shared" ref="C166" si="91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92">G165</f>
        <v>0</v>
      </c>
      <c r="H166" s="1">
        <f t="shared" si="92"/>
        <v>0</v>
      </c>
      <c r="I166" s="1">
        <f t="shared" si="92"/>
        <v>0</v>
      </c>
      <c r="J166" s="1">
        <f t="shared" si="92"/>
        <v>0</v>
      </c>
      <c r="K166" s="1">
        <f t="shared" si="92"/>
        <v>0</v>
      </c>
    </row>
    <row r="167" spans="1:11" x14ac:dyDescent="0.25">
      <c r="A167" s="5" t="str">
        <f>A164</f>
        <v>STEM</v>
      </c>
      <c r="B167" s="5" t="str">
        <f t="shared" si="84"/>
        <v>SPS3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93">SUM(F168:F170)</f>
        <v>0</v>
      </c>
      <c r="G167" s="1">
        <f t="shared" si="93"/>
        <v>0</v>
      </c>
      <c r="H167" s="1">
        <f t="shared" si="93"/>
        <v>0</v>
      </c>
      <c r="I167" s="1">
        <f t="shared" si="93"/>
        <v>1.9240602513543656</v>
      </c>
      <c r="J167" s="1">
        <f t="shared" si="93"/>
        <v>9.6373113642211253E-2</v>
      </c>
      <c r="K167" s="1">
        <f t="shared" si="93"/>
        <v>4.1470942388137093</v>
      </c>
    </row>
    <row r="168" spans="1:11" x14ac:dyDescent="0.25">
      <c r="A168" s="5" t="str">
        <f t="shared" si="84"/>
        <v>STEM</v>
      </c>
      <c r="B168" s="5" t="str">
        <f t="shared" si="84"/>
        <v>SPS3</v>
      </c>
      <c r="C168" s="5" t="str">
        <f t="shared" si="8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1.2097132449590178E-3</v>
      </c>
      <c r="K168" s="1">
        <f>'[1]Electricity and CHPs'!G30</f>
        <v>0.19100354741535408</v>
      </c>
    </row>
    <row r="169" spans="1:11" x14ac:dyDescent="0.25">
      <c r="A169" s="5" t="str">
        <f>A165</f>
        <v>STEM</v>
      </c>
      <c r="B169" s="5" t="str">
        <f t="shared" si="84"/>
        <v>SPS3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1.9227513049133649</v>
      </c>
      <c r="J169" s="1">
        <f>'[1]Electricity and CHPs'!F46</f>
        <v>9.42695229606446E-2</v>
      </c>
      <c r="K169" s="1">
        <f>'[1]Electricity and CHPs'!G46</f>
        <v>3.9550009175181295</v>
      </c>
    </row>
    <row r="170" spans="1:11" x14ac:dyDescent="0.25">
      <c r="A170" s="5" t="str">
        <f t="shared" si="84"/>
        <v>STEM</v>
      </c>
      <c r="B170" s="5" t="str">
        <f t="shared" si="84"/>
        <v>SPS3</v>
      </c>
      <c r="C170" s="5" t="str">
        <f t="shared" si="85"/>
        <v>CH</v>
      </c>
      <c r="D170" t="s">
        <v>234</v>
      </c>
      <c r="E170" t="str">
        <f t="shared" ref="E170:E178" si="94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1.3089464410007683E-3</v>
      </c>
      <c r="J170" s="1">
        <f>'[1]Electricity and CHPs'!F57</f>
        <v>8.9387743660763748E-4</v>
      </c>
      <c r="K170" s="1">
        <f>'[1]Electricity and CHPs'!G57</f>
        <v>1.0897738802256708E-3</v>
      </c>
    </row>
    <row r="171" spans="1:11" x14ac:dyDescent="0.25">
      <c r="A171" s="5" t="str">
        <f t="shared" si="84"/>
        <v>STEM</v>
      </c>
      <c r="B171" s="5" t="str">
        <f t="shared" si="84"/>
        <v>SPS3</v>
      </c>
      <c r="C171" s="5" t="str">
        <f t="shared" si="85"/>
        <v>CH</v>
      </c>
      <c r="D171" t="s">
        <v>807</v>
      </c>
      <c r="E171" t="str">
        <f t="shared" si="94"/>
        <v>PJ/yr.</v>
      </c>
      <c r="F171" s="1">
        <f>SUM(F172:F178)</f>
        <v>0.11359365300393885</v>
      </c>
      <c r="G171" s="1">
        <f t="shared" ref="G171:K171" si="95">SUM(G172:G178)</f>
        <v>2.5310702319785432E-2</v>
      </c>
      <c r="H171" s="1">
        <f t="shared" si="95"/>
        <v>0.11391579714281598</v>
      </c>
      <c r="I171" s="1">
        <f t="shared" si="95"/>
        <v>0.55330649099814477</v>
      </c>
      <c r="J171" s="1">
        <f t="shared" si="95"/>
        <v>0.70066340255932713</v>
      </c>
      <c r="K171" s="1">
        <f t="shared" si="95"/>
        <v>0.48697854579455113</v>
      </c>
    </row>
    <row r="172" spans="1:11" x14ac:dyDescent="0.25">
      <c r="A172" s="5" t="str">
        <f t="shared" si="84"/>
        <v>STEM</v>
      </c>
      <c r="B172" s="5" t="str">
        <f t="shared" si="84"/>
        <v>SPS3</v>
      </c>
      <c r="C172" s="5" t="str">
        <f t="shared" si="85"/>
        <v>CH</v>
      </c>
      <c r="D172" t="s">
        <v>79</v>
      </c>
      <c r="E172" t="str">
        <f t="shared" si="94"/>
        <v>PJ/yr.</v>
      </c>
      <c r="F172" s="1">
        <f>'[1]Electricity and CHPs'!B70</f>
        <v>9.4557975559616994E-2</v>
      </c>
      <c r="G172" s="1">
        <f>'[1]Electricity and CHPs'!C70</f>
        <v>8.0366184672118375E-3</v>
      </c>
      <c r="H172" s="1">
        <f>'[1]Electricity and CHPs'!D70</f>
        <v>9.4506673431740865E-2</v>
      </c>
      <c r="I172" s="1">
        <f>'[1]Electricity and CHPs'!E70</f>
        <v>9.4502294010359103E-2</v>
      </c>
      <c r="J172" s="1">
        <f>'[1]Electricity and CHPs'!F70</f>
        <v>2.2070820947613604E-2</v>
      </c>
      <c r="K172" s="1">
        <f>'[1]Electricity and CHPs'!G70</f>
        <v>1.6038098263053791E-2</v>
      </c>
    </row>
    <row r="173" spans="1:11" x14ac:dyDescent="0.25">
      <c r="A173" s="5" t="str">
        <f t="shared" si="84"/>
        <v>STEM</v>
      </c>
      <c r="B173" s="5" t="str">
        <f t="shared" si="84"/>
        <v>SPS3</v>
      </c>
      <c r="C173" s="5" t="str">
        <f t="shared" si="85"/>
        <v>CH</v>
      </c>
      <c r="D173" t="s">
        <v>80</v>
      </c>
      <c r="E173" t="str">
        <f t="shared" si="94"/>
        <v>PJ/yr.</v>
      </c>
      <c r="F173" s="1">
        <f>'[1]Electricity and CHPs'!B71</f>
        <v>4.9872619603808154E-3</v>
      </c>
      <c r="G173" s="1">
        <f>'[1]Electricity and CHPs'!C71</f>
        <v>4.1254078059085875E-3</v>
      </c>
      <c r="H173" s="1">
        <f>'[1]Electricity and CHPs'!D71</f>
        <v>5.1382587284160564E-3</v>
      </c>
      <c r="I173" s="1">
        <f>'[1]Electricity and CHPs'!E71</f>
        <v>6.7482797336302558E-3</v>
      </c>
      <c r="J173" s="1">
        <f>'[1]Electricity and CHPs'!F71</f>
        <v>0.20379583030273238</v>
      </c>
      <c r="K173" s="1">
        <f>'[1]Electricity and CHPs'!G71</f>
        <v>0.22821799493865674</v>
      </c>
    </row>
    <row r="174" spans="1:11" x14ac:dyDescent="0.25">
      <c r="A174" s="5" t="str">
        <f t="shared" si="84"/>
        <v>STEM</v>
      </c>
      <c r="B174" s="5" t="str">
        <f t="shared" si="84"/>
        <v>SPS3</v>
      </c>
      <c r="C174" s="5" t="str">
        <f t="shared" si="85"/>
        <v>CH</v>
      </c>
      <c r="D174" t="s">
        <v>81</v>
      </c>
      <c r="E174" t="str">
        <f t="shared" si="94"/>
        <v>PJ/yr.</v>
      </c>
      <c r="F174" s="1">
        <f>'[1]Electricity and CHPs'!B72</f>
        <v>4.5260787732227742E-3</v>
      </c>
      <c r="G174" s="1">
        <f>'[1]Electricity and CHPs'!C72</f>
        <v>3.668086468437711E-3</v>
      </c>
      <c r="H174" s="1">
        <f>'[1]Electricity and CHPs'!D72</f>
        <v>4.658805802667817E-3</v>
      </c>
      <c r="I174" s="1">
        <f>'[1]Electricity and CHPs'!E72</f>
        <v>5.8496765269589737E-3</v>
      </c>
      <c r="J174" s="1">
        <f>'[1]Electricity and CHPs'!F72</f>
        <v>2.1900213346405656E-2</v>
      </c>
      <c r="K174" s="1">
        <f>'[1]Electricity and CHPs'!G72</f>
        <v>2.5083551577351634E-2</v>
      </c>
    </row>
    <row r="175" spans="1:11" x14ac:dyDescent="0.25">
      <c r="A175" s="5" t="str">
        <f t="shared" si="84"/>
        <v>STEM</v>
      </c>
      <c r="B175" s="5" t="str">
        <f t="shared" si="84"/>
        <v>SPS3</v>
      </c>
      <c r="C175" s="5" t="str">
        <f t="shared" si="85"/>
        <v>CH</v>
      </c>
      <c r="D175" t="s">
        <v>82</v>
      </c>
      <c r="E175" t="str">
        <f t="shared" si="94"/>
        <v>PJ/yr.</v>
      </c>
      <c r="F175" s="1">
        <f>'[1]Electricity and CHPs'!B73</f>
        <v>1.4295121206802065E-3</v>
      </c>
      <c r="G175" s="1">
        <f>'[1]Electricity and CHPs'!C73</f>
        <v>1.4229673838499943E-3</v>
      </c>
      <c r="H175" s="1">
        <f>'[1]Electricity and CHPs'!D73</f>
        <v>1.4470915167810465E-3</v>
      </c>
      <c r="I175" s="1">
        <f>'[1]Electricity and CHPs'!E73</f>
        <v>4.4443613036578653E-3</v>
      </c>
      <c r="J175" s="1">
        <f>'[1]Electricity and CHPs'!F73</f>
        <v>7.4766504726388808E-3</v>
      </c>
      <c r="K175" s="1">
        <f>'[1]Electricity and CHPs'!G73</f>
        <v>4.1420647619845423E-3</v>
      </c>
    </row>
    <row r="176" spans="1:11" x14ac:dyDescent="0.25">
      <c r="A176" s="5" t="str">
        <f t="shared" si="84"/>
        <v>STEM</v>
      </c>
      <c r="B176" s="5" t="str">
        <f t="shared" si="84"/>
        <v>SPS3</v>
      </c>
      <c r="C176" s="5" t="str">
        <f t="shared" si="85"/>
        <v>CH</v>
      </c>
      <c r="D176" t="s">
        <v>1853</v>
      </c>
      <c r="E176" t="str">
        <f t="shared" si="94"/>
        <v>PJ/yr.</v>
      </c>
      <c r="F176" s="1">
        <f>'[1]Electricity and CHPs'!B74</f>
        <v>3.3274013649348096E-3</v>
      </c>
      <c r="G176" s="1">
        <f>'[1]Electricity and CHPs'!C74</f>
        <v>3.3130608705225825E-3</v>
      </c>
      <c r="H176" s="1">
        <f>'[1]Electricity and CHPs'!D74</f>
        <v>3.3548445850018773E-3</v>
      </c>
      <c r="I176" s="1">
        <f>'[1]Electricity and CHPs'!E74</f>
        <v>0.21414766575046812</v>
      </c>
      <c r="J176" s="1">
        <f>'[1]Electricity and CHPs'!F74</f>
        <v>0.21829714856070653</v>
      </c>
      <c r="K176" s="1">
        <f>'[1]Electricity and CHPs'!G74</f>
        <v>0.10486891054325881</v>
      </c>
    </row>
    <row r="177" spans="1:11" x14ac:dyDescent="0.25">
      <c r="A177" s="5" t="str">
        <f t="shared" si="84"/>
        <v>STEM</v>
      </c>
      <c r="B177" s="5" t="str">
        <f t="shared" si="84"/>
        <v>SPS3</v>
      </c>
      <c r="C177" s="5" t="str">
        <f t="shared" si="85"/>
        <v>CH</v>
      </c>
      <c r="D177" t="s">
        <v>83</v>
      </c>
      <c r="E177" t="str">
        <f t="shared" si="94"/>
        <v>PJ/yr.</v>
      </c>
      <c r="F177" s="1">
        <f>'[1]Electricity and CHPs'!B75</f>
        <v>3.3300436869214507E-3</v>
      </c>
      <c r="G177" s="1">
        <f>'[1]Electricity and CHPs'!C75</f>
        <v>3.315678619383723E-3</v>
      </c>
      <c r="H177" s="1">
        <f>'[1]Electricity and CHPs'!D75</f>
        <v>3.3576889424297316E-3</v>
      </c>
      <c r="I177" s="1">
        <f>'[1]Electricity and CHPs'!E75</f>
        <v>0.2231796120607818</v>
      </c>
      <c r="J177" s="1">
        <f>'[1]Electricity and CHPs'!F75</f>
        <v>0.22051142495187112</v>
      </c>
      <c r="K177" s="1">
        <f>'[1]Electricity and CHPs'!G75</f>
        <v>0.10487931538067678</v>
      </c>
    </row>
    <row r="178" spans="1:11" x14ac:dyDescent="0.25">
      <c r="A178" s="5" t="str">
        <f t="shared" si="84"/>
        <v>STEM</v>
      </c>
      <c r="B178" s="5" t="str">
        <f t="shared" si="84"/>
        <v>SPS3</v>
      </c>
      <c r="C178" s="5" t="str">
        <f t="shared" si="85"/>
        <v>CH</v>
      </c>
      <c r="D178" t="s">
        <v>87</v>
      </c>
      <c r="E178" t="str">
        <f t="shared" si="94"/>
        <v>PJ/yr.</v>
      </c>
      <c r="F178" s="1">
        <f>'[1]Electricity and CHPs'!B76</f>
        <v>1.4353795381817941E-3</v>
      </c>
      <c r="G178" s="1">
        <f>'[1]Electricity and CHPs'!C76</f>
        <v>1.4288827044709989E-3</v>
      </c>
      <c r="H178" s="1">
        <f>'[1]Electricity and CHPs'!D76</f>
        <v>1.4524341357785872E-3</v>
      </c>
      <c r="I178" s="1">
        <f>'[1]Electricity and CHPs'!E76</f>
        <v>4.434601612288612E-3</v>
      </c>
      <c r="J178" s="1">
        <f>'[1]Electricity and CHPs'!F76</f>
        <v>6.6113139773589704E-3</v>
      </c>
      <c r="K178" s="1">
        <f>'[1]Electricity and CHPs'!G76</f>
        <v>3.7486103295687754E-3</v>
      </c>
    </row>
    <row r="179" spans="1:11" x14ac:dyDescent="0.25">
      <c r="A179" s="9" t="str">
        <f t="shared" si="84"/>
        <v>STEM</v>
      </c>
      <c r="B179" s="9" t="str">
        <f t="shared" si="84"/>
        <v>SPS3</v>
      </c>
      <c r="C179" s="2" t="str">
        <f t="shared" si="85"/>
        <v>CH</v>
      </c>
      <c r="D179" s="2" t="s">
        <v>152</v>
      </c>
      <c r="E179" s="2" t="str">
        <f>E167</f>
        <v>PJ/yr.</v>
      </c>
      <c r="F179" s="3">
        <f>SUM(F180,F231)</f>
        <v>29.599938451067722</v>
      </c>
      <c r="G179" s="3">
        <f t="shared" ref="G179:K179" si="96">SUM(G180,G231)</f>
        <v>33.731076840256179</v>
      </c>
      <c r="H179" s="3">
        <f t="shared" si="96"/>
        <v>34.141205897136246</v>
      </c>
      <c r="I179" s="3">
        <f t="shared" si="96"/>
        <v>39.560970075006118</v>
      </c>
      <c r="J179" s="3">
        <f t="shared" si="96"/>
        <v>39.607904240721005</v>
      </c>
      <c r="K179" s="3">
        <f t="shared" si="96"/>
        <v>39.644807587508424</v>
      </c>
    </row>
    <row r="180" spans="1:11" x14ac:dyDescent="0.25">
      <c r="A180" s="5" t="s">
        <v>5</v>
      </c>
      <c r="B180" s="5" t="str">
        <f t="shared" ref="B180:B243" si="97">B179</f>
        <v>SPS3</v>
      </c>
      <c r="C180" s="5" t="s">
        <v>7</v>
      </c>
      <c r="D180" t="s">
        <v>808</v>
      </c>
      <c r="E180" t="str">
        <f>E168</f>
        <v>PJ/yr.</v>
      </c>
      <c r="F180" s="1">
        <f t="shared" ref="F180:K180" si="98">F181+F208</f>
        <v>23.058103063425619</v>
      </c>
      <c r="G180" s="1">
        <f t="shared" si="98"/>
        <v>25.54511080375984</v>
      </c>
      <c r="H180" s="1">
        <f t="shared" si="98"/>
        <v>26.610197470406106</v>
      </c>
      <c r="I180" s="1">
        <f t="shared" si="98"/>
        <v>29.935715871810128</v>
      </c>
      <c r="J180" s="1">
        <f t="shared" si="98"/>
        <v>27.980375051522756</v>
      </c>
      <c r="K180" s="1">
        <f t="shared" si="98"/>
        <v>23.2828750745199</v>
      </c>
    </row>
    <row r="181" spans="1:11" x14ac:dyDescent="0.25">
      <c r="A181" s="5" t="s">
        <v>5</v>
      </c>
      <c r="B181" s="5" t="str">
        <f t="shared" si="97"/>
        <v>SPS3</v>
      </c>
      <c r="C181" s="5" t="s">
        <v>7</v>
      </c>
      <c r="D181" t="s">
        <v>823</v>
      </c>
      <c r="E181" t="str">
        <f>E165</f>
        <v>PJ/yr.</v>
      </c>
      <c r="F181" s="1">
        <f t="shared" ref="F181:K181" si="99">SUM(F183,F187,F188,F196,F197,F205,F207)</f>
        <v>17.151622412052568</v>
      </c>
      <c r="G181" s="1">
        <f t="shared" si="99"/>
        <v>13.308291626520017</v>
      </c>
      <c r="H181" s="1">
        <f t="shared" si="99"/>
        <v>13.20781010348392</v>
      </c>
      <c r="I181" s="1">
        <f t="shared" si="99"/>
        <v>13.035133570420189</v>
      </c>
      <c r="J181" s="1">
        <f t="shared" si="99"/>
        <v>17.938124738109863</v>
      </c>
      <c r="K181" s="1">
        <f t="shared" si="99"/>
        <v>18.388553595586458</v>
      </c>
    </row>
    <row r="182" spans="1:11" x14ac:dyDescent="0.25">
      <c r="A182" s="5" t="s">
        <v>5</v>
      </c>
      <c r="B182" s="5" t="str">
        <f t="shared" si="97"/>
        <v>SPS3</v>
      </c>
      <c r="C182" s="5" t="s">
        <v>7</v>
      </c>
      <c r="D182" t="s">
        <v>809</v>
      </c>
      <c r="E182" t="s">
        <v>8</v>
      </c>
      <c r="F182" s="1">
        <f>F183</f>
        <v>9.2644846334489373E-3</v>
      </c>
      <c r="G182" s="1">
        <f t="shared" ref="G182:K182" si="100">G183</f>
        <v>6.2322166805765409E-4</v>
      </c>
      <c r="H182" s="1">
        <f t="shared" si="100"/>
        <v>5.4652149492957674E-3</v>
      </c>
      <c r="I182" s="1">
        <f t="shared" si="100"/>
        <v>1.3517604629134036E-3</v>
      </c>
      <c r="J182" s="1">
        <f t="shared" si="100"/>
        <v>3.6559779319705579E-3</v>
      </c>
      <c r="K182" s="1">
        <f t="shared" si="100"/>
        <v>1.6467506001828454E-5</v>
      </c>
    </row>
    <row r="183" spans="1:11" x14ac:dyDescent="0.25">
      <c r="A183" s="5" t="s">
        <v>5</v>
      </c>
      <c r="B183" s="5" t="str">
        <f t="shared" si="97"/>
        <v>SPS3</v>
      </c>
      <c r="C183" s="5" t="s">
        <v>7</v>
      </c>
      <c r="D183" t="s">
        <v>229</v>
      </c>
      <c r="E183" t="s">
        <v>8</v>
      </c>
      <c r="F183" s="1">
        <f>'[1]Electricity and CHPs'!B$94</f>
        <v>9.2644846334489373E-3</v>
      </c>
      <c r="G183" s="1">
        <f>'[1]Electricity and CHPs'!C$94</f>
        <v>6.2322166805765409E-4</v>
      </c>
      <c r="H183" s="1">
        <f>'[1]Electricity and CHPs'!D$94</f>
        <v>5.4652149492957674E-3</v>
      </c>
      <c r="I183" s="1">
        <f>'[1]Electricity and CHPs'!E$94</f>
        <v>1.3517604629134036E-3</v>
      </c>
      <c r="J183" s="1">
        <f>'[1]Electricity and CHPs'!F$94</f>
        <v>3.6559779319705579E-3</v>
      </c>
      <c r="K183" s="1">
        <f>'[1]Electricity and CHPs'!G$94</f>
        <v>1.6467506001828454E-5</v>
      </c>
    </row>
    <row r="184" spans="1:11" x14ac:dyDescent="0.25">
      <c r="A184" s="5" t="s">
        <v>5</v>
      </c>
      <c r="B184" s="5" t="str">
        <f t="shared" si="97"/>
        <v>SPS3</v>
      </c>
      <c r="C184" s="5" t="s">
        <v>7</v>
      </c>
      <c r="D184" t="s">
        <v>517</v>
      </c>
      <c r="E184" t="s">
        <v>8</v>
      </c>
      <c r="F184" s="1">
        <f>F183-F185</f>
        <v>9.2644846334489373E-3</v>
      </c>
      <c r="G184" s="1">
        <f t="shared" ref="G184:K184" si="101">G183-G185</f>
        <v>6.2322166805765409E-4</v>
      </c>
      <c r="H184" s="1">
        <f t="shared" si="101"/>
        <v>5.4652149492957674E-3</v>
      </c>
      <c r="I184" s="1">
        <f t="shared" si="101"/>
        <v>1.3517604629134036E-3</v>
      </c>
      <c r="J184" s="1">
        <f t="shared" si="101"/>
        <v>3.6559779319705579E-3</v>
      </c>
      <c r="K184" s="1">
        <f t="shared" si="101"/>
        <v>1.6467506001828454E-5</v>
      </c>
    </row>
    <row r="185" spans="1:11" x14ac:dyDescent="0.25">
      <c r="A185" s="5" t="s">
        <v>5</v>
      </c>
      <c r="B185" s="5" t="str">
        <f t="shared" si="97"/>
        <v>SPS3</v>
      </c>
      <c r="C185" s="5" t="s">
        <v>7</v>
      </c>
      <c r="D185" t="s">
        <v>541</v>
      </c>
      <c r="E185" t="s">
        <v>8</v>
      </c>
      <c r="F185" s="1">
        <f t="shared" ref="F185:K185" si="102">F183*IFERROR(F78/F74,0)</f>
        <v>0</v>
      </c>
      <c r="G185" s="1">
        <f t="shared" si="102"/>
        <v>0</v>
      </c>
      <c r="H185" s="1">
        <f t="shared" si="102"/>
        <v>0</v>
      </c>
      <c r="I185" s="1">
        <f t="shared" si="102"/>
        <v>0</v>
      </c>
      <c r="J185" s="1">
        <f t="shared" si="102"/>
        <v>0</v>
      </c>
      <c r="K185" s="1">
        <f t="shared" si="102"/>
        <v>0</v>
      </c>
    </row>
    <row r="186" spans="1:11" x14ac:dyDescent="0.25">
      <c r="A186" s="5" t="s">
        <v>5</v>
      </c>
      <c r="B186" s="5" t="str">
        <f t="shared" si="97"/>
        <v>SPS3</v>
      </c>
      <c r="C186" s="5" t="s">
        <v>7</v>
      </c>
      <c r="D186" t="s">
        <v>810</v>
      </c>
      <c r="E186" t="s">
        <v>8</v>
      </c>
      <c r="F186" s="1">
        <f>SUM(F187:F188)</f>
        <v>1.8035515735151193</v>
      </c>
      <c r="G186" s="1">
        <f t="shared" ref="G186:K186" si="103">SUM(G187:G188)</f>
        <v>1.9404481597247367E-3</v>
      </c>
      <c r="H186" s="1">
        <f t="shared" si="103"/>
        <v>4.2534720473509013E-3</v>
      </c>
      <c r="I186" s="1">
        <f t="shared" si="103"/>
        <v>2.3431084696829431E-3</v>
      </c>
      <c r="J186" s="1">
        <f t="shared" si="103"/>
        <v>0.68070159141390318</v>
      </c>
      <c r="K186" s="1">
        <f t="shared" si="103"/>
        <v>0.9473051234640294</v>
      </c>
    </row>
    <row r="187" spans="1:11" x14ac:dyDescent="0.25">
      <c r="A187" s="5" t="s">
        <v>5</v>
      </c>
      <c r="B187" s="5" t="str">
        <f t="shared" si="97"/>
        <v>SPS3</v>
      </c>
      <c r="C187" s="5" t="s">
        <v>7</v>
      </c>
      <c r="D187" t="s">
        <v>153</v>
      </c>
      <c r="E187" t="s">
        <v>8</v>
      </c>
      <c r="F187" s="1">
        <f>'[1]Electricity and CHPs'!B$91</f>
        <v>1.8035515735151193</v>
      </c>
      <c r="G187" s="1">
        <f>'[1]Electricity and CHPs'!C$91</f>
        <v>1.9404481597247367E-3</v>
      </c>
      <c r="H187" s="1">
        <f>'[1]Electricity and CHPs'!D$91</f>
        <v>4.2534720473509013E-3</v>
      </c>
      <c r="I187" s="1">
        <f>'[1]Electricity and CHPs'!E$91</f>
        <v>2.3431084696829431E-3</v>
      </c>
      <c r="J187" s="1">
        <f>'[1]Electricity and CHPs'!F$91</f>
        <v>0.14856582761903953</v>
      </c>
      <c r="K187" s="1">
        <f>'[1]Electricity and CHPs'!G$91</f>
        <v>1.1020274229678341E-3</v>
      </c>
    </row>
    <row r="188" spans="1:11" x14ac:dyDescent="0.25">
      <c r="A188" s="5" t="s">
        <v>5</v>
      </c>
      <c r="B188" s="5" t="str">
        <f t="shared" si="97"/>
        <v>SPS3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0.53213576379486371</v>
      </c>
      <c r="K188" s="1">
        <f>'[1]Electricity and CHPs'!G$95</f>
        <v>0.94620309604106156</v>
      </c>
    </row>
    <row r="189" spans="1:11" x14ac:dyDescent="0.25">
      <c r="A189" s="5"/>
      <c r="B189" s="5" t="str">
        <f t="shared" si="97"/>
        <v>SPS3</v>
      </c>
      <c r="C189" s="5" t="str">
        <f>C188</f>
        <v>CH</v>
      </c>
      <c r="D189" t="s">
        <v>811</v>
      </c>
      <c r="E189" t="s">
        <v>8</v>
      </c>
      <c r="F189" s="1">
        <f>SUM(F190:F191)</f>
        <v>1.7570925630274219</v>
      </c>
      <c r="G189" s="1">
        <f t="shared" ref="G189:K189" si="104">SUM(G190:G191)</f>
        <v>1.879002038032773E-3</v>
      </c>
      <c r="H189" s="1">
        <f t="shared" si="104"/>
        <v>3.7865907116096855E-3</v>
      </c>
      <c r="I189" s="1">
        <f t="shared" si="104"/>
        <v>2.3425068352690729E-3</v>
      </c>
      <c r="J189" s="1">
        <f t="shared" si="104"/>
        <v>0.57635034097724136</v>
      </c>
      <c r="K189" s="1">
        <f t="shared" si="104"/>
        <v>0.52376840361547061</v>
      </c>
    </row>
    <row r="190" spans="1:11" x14ac:dyDescent="0.25">
      <c r="A190" s="5" t="s">
        <v>5</v>
      </c>
      <c r="B190" s="5" t="str">
        <f t="shared" si="97"/>
        <v>SPS3</v>
      </c>
      <c r="C190" s="5" t="s">
        <v>7</v>
      </c>
      <c r="D190" t="s">
        <v>567</v>
      </c>
      <c r="E190" t="s">
        <v>8</v>
      </c>
      <c r="F190" s="1">
        <f>F187-F193</f>
        <v>1.7570925630274219</v>
      </c>
      <c r="G190" s="1">
        <f t="shared" ref="G190:K190" si="105">G187-G193</f>
        <v>1.879002038032773E-3</v>
      </c>
      <c r="H190" s="1">
        <f t="shared" si="105"/>
        <v>3.7865907116096855E-3</v>
      </c>
      <c r="I190" s="1">
        <f t="shared" si="105"/>
        <v>2.3425068352690729E-3</v>
      </c>
      <c r="J190" s="1">
        <f t="shared" si="105"/>
        <v>0.12579075249103436</v>
      </c>
      <c r="K190" s="1">
        <f t="shared" si="105"/>
        <v>6.0931491846855914E-4</v>
      </c>
    </row>
    <row r="191" spans="1:11" x14ac:dyDescent="0.25">
      <c r="A191" s="5" t="s">
        <v>5</v>
      </c>
      <c r="B191" s="5" t="str">
        <f t="shared" si="97"/>
        <v>SPS3</v>
      </c>
      <c r="C191" s="5" t="s">
        <v>7</v>
      </c>
      <c r="D191" t="s">
        <v>568</v>
      </c>
      <c r="E191" t="s">
        <v>8</v>
      </c>
      <c r="F191" s="1">
        <f t="shared" ref="F191:K191" si="106">F188-F194</f>
        <v>0</v>
      </c>
      <c r="G191" s="1">
        <f t="shared" si="106"/>
        <v>0</v>
      </c>
      <c r="H191" s="1">
        <f t="shared" si="106"/>
        <v>0</v>
      </c>
      <c r="I191" s="1">
        <f t="shared" si="106"/>
        <v>0</v>
      </c>
      <c r="J191" s="1">
        <f t="shared" si="106"/>
        <v>0.45055958848620703</v>
      </c>
      <c r="K191" s="1">
        <f t="shared" si="106"/>
        <v>0.52315908869700201</v>
      </c>
    </row>
    <row r="192" spans="1:11" x14ac:dyDescent="0.25">
      <c r="A192" s="5"/>
      <c r="B192" s="5" t="str">
        <f t="shared" si="97"/>
        <v>SPS3</v>
      </c>
      <c r="C192" s="5" t="s">
        <v>7</v>
      </c>
      <c r="D192" t="s">
        <v>812</v>
      </c>
      <c r="E192" t="s">
        <v>8</v>
      </c>
      <c r="F192" s="1">
        <f>SUM(F193:F194)</f>
        <v>4.6459010487697461E-2</v>
      </c>
      <c r="G192" s="1">
        <f t="shared" ref="G192:K192" si="107">SUM(G193:G194)</f>
        <v>6.1446121691963656E-5</v>
      </c>
      <c r="H192" s="1">
        <f t="shared" si="107"/>
        <v>4.6688133574121574E-4</v>
      </c>
      <c r="I192" s="1">
        <f t="shared" si="107"/>
        <v>6.0163441387032549E-7</v>
      </c>
      <c r="J192" s="1">
        <f t="shared" si="107"/>
        <v>0.10435125043666184</v>
      </c>
      <c r="K192" s="1">
        <f t="shared" si="107"/>
        <v>0.42353671984855884</v>
      </c>
    </row>
    <row r="193" spans="1:11" x14ac:dyDescent="0.25">
      <c r="A193" s="5" t="s">
        <v>5</v>
      </c>
      <c r="B193" s="5" t="str">
        <f t="shared" si="97"/>
        <v>SPS3</v>
      </c>
      <c r="C193" s="5" t="s">
        <v>7</v>
      </c>
      <c r="D193" t="s">
        <v>628</v>
      </c>
      <c r="E193" t="s">
        <v>8</v>
      </c>
      <c r="F193" s="1">
        <f t="shared" ref="F193:K194" si="108">F187*IFERROR(F116/F84,0)</f>
        <v>4.6459010487697461E-2</v>
      </c>
      <c r="G193" s="1">
        <f t="shared" si="108"/>
        <v>6.1446121691963656E-5</v>
      </c>
      <c r="H193" s="1">
        <f t="shared" si="108"/>
        <v>4.6688133574121574E-4</v>
      </c>
      <c r="I193" s="1">
        <f t="shared" si="108"/>
        <v>6.0163441387032549E-7</v>
      </c>
      <c r="J193" s="1">
        <f t="shared" si="108"/>
        <v>2.2775075128005171E-2</v>
      </c>
      <c r="K193" s="1">
        <f t="shared" si="108"/>
        <v>4.9271250449927501E-4</v>
      </c>
    </row>
    <row r="194" spans="1:11" x14ac:dyDescent="0.25">
      <c r="A194" s="5" t="s">
        <v>5</v>
      </c>
      <c r="B194" s="5" t="str">
        <f t="shared" si="97"/>
        <v>SPS3</v>
      </c>
      <c r="C194" s="5" t="s">
        <v>7</v>
      </c>
      <c r="D194" t="s">
        <v>629</v>
      </c>
      <c r="E194" t="s">
        <v>8</v>
      </c>
      <c r="F194" s="1">
        <f t="shared" si="108"/>
        <v>0</v>
      </c>
      <c r="G194" s="1">
        <f t="shared" si="108"/>
        <v>0</v>
      </c>
      <c r="H194" s="1">
        <f t="shared" si="108"/>
        <v>0</v>
      </c>
      <c r="I194" s="1">
        <f t="shared" si="108"/>
        <v>0</v>
      </c>
      <c r="J194" s="1">
        <f t="shared" si="108"/>
        <v>8.157617530865667E-2</v>
      </c>
      <c r="K194" s="1">
        <f t="shared" si="108"/>
        <v>0.42304400734405956</v>
      </c>
    </row>
    <row r="195" spans="1:11" x14ac:dyDescent="0.25">
      <c r="A195" s="5" t="s">
        <v>5</v>
      </c>
      <c r="B195" s="5" t="str">
        <f t="shared" si="97"/>
        <v>SPS3</v>
      </c>
      <c r="C195" s="5" t="s">
        <v>7</v>
      </c>
      <c r="D195" t="s">
        <v>813</v>
      </c>
      <c r="E195" t="s">
        <v>8</v>
      </c>
      <c r="F195" s="1">
        <f>SUM(F196:F197)</f>
        <v>14.15981647264652</v>
      </c>
      <c r="G195" s="1">
        <f t="shared" ref="G195:K195" si="109">SUM(G196:G197)</f>
        <v>13.083218702374753</v>
      </c>
      <c r="H195" s="1">
        <f t="shared" si="109"/>
        <v>13.178288957641847</v>
      </c>
      <c r="I195" s="1">
        <f t="shared" si="109"/>
        <v>12.935541185491962</v>
      </c>
      <c r="J195" s="1">
        <f t="shared" si="109"/>
        <v>12.034730981508154</v>
      </c>
      <c r="K195" s="1">
        <f t="shared" si="109"/>
        <v>10.757713877187491</v>
      </c>
    </row>
    <row r="196" spans="1:11" x14ac:dyDescent="0.25">
      <c r="A196" s="5" t="s">
        <v>5</v>
      </c>
      <c r="B196" s="5" t="str">
        <f t="shared" si="97"/>
        <v>SPS3</v>
      </c>
      <c r="C196" s="5" t="s">
        <v>7</v>
      </c>
      <c r="D196" t="s">
        <v>155</v>
      </c>
      <c r="E196" t="s">
        <v>8</v>
      </c>
      <c r="F196" s="1">
        <f>'[1]Electricity and CHPs'!B$93-F197</f>
        <v>14.15981647264652</v>
      </c>
      <c r="G196" s="1">
        <f>'[1]Electricity and CHPs'!C$93-G197</f>
        <v>13.083218702374753</v>
      </c>
      <c r="H196" s="1">
        <f>'[1]Electricity and CHPs'!D$93-H197</f>
        <v>13.178288957641847</v>
      </c>
      <c r="I196" s="1">
        <f>'[1]Electricity and CHPs'!E$93-I197</f>
        <v>12.935541185491962</v>
      </c>
      <c r="J196" s="1">
        <f>'[1]Electricity and CHPs'!F$93-J197</f>
        <v>12.029157927889811</v>
      </c>
      <c r="K196" s="1">
        <f>'[1]Electricity and CHPs'!G$93-K197</f>
        <v>4.4515916852593422</v>
      </c>
    </row>
    <row r="197" spans="1:11" x14ac:dyDescent="0.25">
      <c r="A197" s="5" t="s">
        <v>5</v>
      </c>
      <c r="B197" s="5" t="str">
        <f t="shared" si="97"/>
        <v>SPS3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5.5730536183430978E-3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6.3061221919281492</v>
      </c>
    </row>
    <row r="198" spans="1:11" x14ac:dyDescent="0.25">
      <c r="A198" s="5" t="s">
        <v>5</v>
      </c>
      <c r="B198" s="5" t="str">
        <f t="shared" si="97"/>
        <v>SPS3</v>
      </c>
      <c r="C198" s="5" t="s">
        <v>7</v>
      </c>
      <c r="D198" t="s">
        <v>814</v>
      </c>
      <c r="E198" t="s">
        <v>8</v>
      </c>
      <c r="F198" s="1">
        <f>SUM(F199:F200)</f>
        <v>7.0799082363232602</v>
      </c>
      <c r="G198" s="1">
        <f t="shared" ref="G198:K198" si="110">SUM(G199:G200)</f>
        <v>6.5416093511873754</v>
      </c>
      <c r="H198" s="1">
        <f t="shared" si="110"/>
        <v>6.5891444788209235</v>
      </c>
      <c r="I198" s="1">
        <f t="shared" si="110"/>
        <v>6.4677705927459819</v>
      </c>
      <c r="J198" s="1">
        <f t="shared" si="110"/>
        <v>6.0173654907540781</v>
      </c>
      <c r="K198" s="1">
        <f t="shared" si="110"/>
        <v>5.3788569385937457</v>
      </c>
    </row>
    <row r="199" spans="1:11" x14ac:dyDescent="0.25">
      <c r="A199" s="5" t="s">
        <v>5</v>
      </c>
      <c r="B199" s="5" t="str">
        <f t="shared" si="97"/>
        <v>SPS3</v>
      </c>
      <c r="C199" s="5" t="s">
        <v>7</v>
      </c>
      <c r="D199" t="s">
        <v>157</v>
      </c>
      <c r="E199" t="s">
        <v>8</v>
      </c>
      <c r="F199" s="1">
        <f t="shared" ref="F199:K199" si="111">F196*F138/F131</f>
        <v>7.0799082363232602</v>
      </c>
      <c r="G199" s="1">
        <f t="shared" si="111"/>
        <v>6.5416093511873754</v>
      </c>
      <c r="H199" s="1">
        <f t="shared" si="111"/>
        <v>6.5891444788209235</v>
      </c>
      <c r="I199" s="1">
        <f t="shared" si="111"/>
        <v>6.4677705927459819</v>
      </c>
      <c r="J199" s="1">
        <f t="shared" si="111"/>
        <v>6.0145789639449063</v>
      </c>
      <c r="K199" s="1">
        <f t="shared" si="111"/>
        <v>2.2257958426296707</v>
      </c>
    </row>
    <row r="200" spans="1:11" x14ac:dyDescent="0.25">
      <c r="A200" s="5" t="s">
        <v>5</v>
      </c>
      <c r="B200" s="5" t="str">
        <f t="shared" si="97"/>
        <v>SPS3</v>
      </c>
      <c r="C200" s="5" t="s">
        <v>7</v>
      </c>
      <c r="D200" t="s">
        <v>158</v>
      </c>
      <c r="E200" t="s">
        <v>8</v>
      </c>
      <c r="F200" s="1">
        <f t="shared" ref="F200:K200" si="112">F197*IFERROR(F139/F132,0)</f>
        <v>0</v>
      </c>
      <c r="G200" s="1">
        <f t="shared" si="112"/>
        <v>0</v>
      </c>
      <c r="H200" s="1">
        <f t="shared" si="112"/>
        <v>0</v>
      </c>
      <c r="I200" s="1">
        <f t="shared" si="112"/>
        <v>0</v>
      </c>
      <c r="J200" s="1">
        <f t="shared" si="112"/>
        <v>2.7865268091715489E-3</v>
      </c>
      <c r="K200" s="1">
        <f t="shared" si="112"/>
        <v>3.1530610959640746</v>
      </c>
    </row>
    <row r="201" spans="1:11" x14ac:dyDescent="0.25">
      <c r="A201" s="5" t="s">
        <v>5</v>
      </c>
      <c r="B201" s="5" t="str">
        <f t="shared" si="97"/>
        <v>SPS3</v>
      </c>
      <c r="C201" s="5" t="s">
        <v>7</v>
      </c>
      <c r="D201" t="s">
        <v>815</v>
      </c>
      <c r="E201" t="s">
        <v>8</v>
      </c>
      <c r="F201" s="1">
        <f>SUM(F202:F203)</f>
        <v>7.0799082363232602</v>
      </c>
      <c r="G201" s="1">
        <f t="shared" ref="G201:K201" si="113">SUM(G202:G203)</f>
        <v>6.5416093511873772</v>
      </c>
      <c r="H201" s="1">
        <f t="shared" si="113"/>
        <v>6.5891444788209235</v>
      </c>
      <c r="I201" s="1">
        <f t="shared" si="113"/>
        <v>6.4677705927459801</v>
      </c>
      <c r="J201" s="1">
        <f t="shared" si="113"/>
        <v>6.0173654907540763</v>
      </c>
      <c r="K201" s="1">
        <f t="shared" si="113"/>
        <v>5.3788569385937457</v>
      </c>
    </row>
    <row r="202" spans="1:11" x14ac:dyDescent="0.25">
      <c r="A202" s="5" t="s">
        <v>5</v>
      </c>
      <c r="B202" s="5" t="str">
        <f t="shared" si="97"/>
        <v>SPS3</v>
      </c>
      <c r="C202" s="5" t="s">
        <v>7</v>
      </c>
      <c r="D202" t="s">
        <v>159</v>
      </c>
      <c r="E202" t="s">
        <v>8</v>
      </c>
      <c r="F202" s="1">
        <f t="shared" ref="F202:K203" si="114">F196-F199</f>
        <v>7.0799082363232602</v>
      </c>
      <c r="G202" s="1">
        <f t="shared" si="114"/>
        <v>6.5416093511873772</v>
      </c>
      <c r="H202" s="1">
        <f t="shared" si="114"/>
        <v>6.5891444788209235</v>
      </c>
      <c r="I202" s="1">
        <f t="shared" si="114"/>
        <v>6.4677705927459801</v>
      </c>
      <c r="J202" s="1">
        <f t="shared" si="114"/>
        <v>6.0145789639449045</v>
      </c>
      <c r="K202" s="1">
        <f t="shared" si="114"/>
        <v>2.2257958426296716</v>
      </c>
    </row>
    <row r="203" spans="1:11" x14ac:dyDescent="0.25">
      <c r="A203" s="5" t="s">
        <v>5</v>
      </c>
      <c r="B203" s="5" t="str">
        <f t="shared" si="97"/>
        <v>SPS3</v>
      </c>
      <c r="C203" s="5" t="s">
        <v>7</v>
      </c>
      <c r="D203" t="s">
        <v>160</v>
      </c>
      <c r="E203" t="s">
        <v>8</v>
      </c>
      <c r="F203" s="1">
        <f t="shared" si="114"/>
        <v>0</v>
      </c>
      <c r="G203" s="1">
        <f t="shared" si="114"/>
        <v>0</v>
      </c>
      <c r="H203" s="1">
        <f t="shared" si="114"/>
        <v>0</v>
      </c>
      <c r="I203" s="1">
        <f t="shared" si="114"/>
        <v>0</v>
      </c>
      <c r="J203" s="1">
        <f t="shared" si="114"/>
        <v>2.7865268091715489E-3</v>
      </c>
      <c r="K203" s="1">
        <f t="shared" si="114"/>
        <v>3.1530610959640746</v>
      </c>
    </row>
    <row r="204" spans="1:11" x14ac:dyDescent="0.25">
      <c r="A204" s="5" t="s">
        <v>5</v>
      </c>
      <c r="B204" s="5" t="str">
        <f t="shared" si="97"/>
        <v>SPS3</v>
      </c>
      <c r="C204" s="5" t="s">
        <v>7</v>
      </c>
      <c r="D204" t="s">
        <v>816</v>
      </c>
      <c r="E204" t="s">
        <v>8</v>
      </c>
      <c r="F204" s="1">
        <f>F205</f>
        <v>1.1789898812574804</v>
      </c>
      <c r="G204" s="1">
        <f t="shared" ref="G204:K204" si="115">G205</f>
        <v>0.22250925431748053</v>
      </c>
      <c r="H204" s="1">
        <f t="shared" si="115"/>
        <v>1.9802458845426092E-2</v>
      </c>
      <c r="I204" s="1">
        <f t="shared" si="115"/>
        <v>9.5897515995631524E-2</v>
      </c>
      <c r="J204" s="1">
        <f t="shared" si="115"/>
        <v>5.2175672497441008</v>
      </c>
      <c r="K204" s="1">
        <f t="shared" si="115"/>
        <v>6.4424898414048002</v>
      </c>
    </row>
    <row r="205" spans="1:11" x14ac:dyDescent="0.25">
      <c r="A205" s="5" t="s">
        <v>5</v>
      </c>
      <c r="B205" s="5" t="str">
        <f t="shared" si="97"/>
        <v>SPS3</v>
      </c>
      <c r="C205" s="5" t="s">
        <v>7</v>
      </c>
      <c r="D205" t="s">
        <v>161</v>
      </c>
      <c r="E205" t="s">
        <v>8</v>
      </c>
      <c r="F205" s="1">
        <f>'[1]Electricity and CHPs'!B$92</f>
        <v>1.1789898812574804</v>
      </c>
      <c r="G205" s="1">
        <f>'[1]Electricity and CHPs'!C$92</f>
        <v>0.22250925431748053</v>
      </c>
      <c r="H205" s="1">
        <f>'[1]Electricity and CHPs'!D$92</f>
        <v>1.9802458845426092E-2</v>
      </c>
      <c r="I205" s="1">
        <f>'[1]Electricity and CHPs'!E$92</f>
        <v>9.5897515995631524E-2</v>
      </c>
      <c r="J205" s="1">
        <f>'[1]Electricity and CHPs'!F$92</f>
        <v>5.2175672497441008</v>
      </c>
      <c r="K205" s="1">
        <f>'[1]Electricity and CHPs'!G$92</f>
        <v>6.4424898414048002</v>
      </c>
    </row>
    <row r="206" spans="1:11" x14ac:dyDescent="0.25">
      <c r="A206" s="5" t="s">
        <v>5</v>
      </c>
      <c r="B206" s="5" t="str">
        <f t="shared" si="97"/>
        <v>SPS3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16">+G207</f>
        <v>0</v>
      </c>
      <c r="H206" s="1">
        <f t="shared" si="116"/>
        <v>0</v>
      </c>
      <c r="I206" s="1">
        <f t="shared" si="116"/>
        <v>0</v>
      </c>
      <c r="J206" s="1">
        <f t="shared" si="116"/>
        <v>1.4689375117359436E-3</v>
      </c>
      <c r="K206" s="1">
        <f t="shared" si="116"/>
        <v>0.2410282860241369</v>
      </c>
    </row>
    <row r="207" spans="1:11" x14ac:dyDescent="0.25">
      <c r="A207" s="5" t="s">
        <v>5</v>
      </c>
      <c r="B207" s="5" t="str">
        <f t="shared" si="97"/>
        <v>SPS3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1.4689375117359436E-3</v>
      </c>
      <c r="K207" s="1">
        <f>'[1]Electricity and CHPs'!G$96</f>
        <v>0.2410282860241369</v>
      </c>
    </row>
    <row r="208" spans="1:11" x14ac:dyDescent="0.25">
      <c r="A208" s="5" t="s">
        <v>5</v>
      </c>
      <c r="B208" s="5" t="str">
        <f t="shared" si="97"/>
        <v>SPS3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5.9064806513730526</v>
      </c>
      <c r="G208" s="1">
        <f t="shared" ref="G208:K208" si="117">SUM(G209,G215,G217,G223,G225,G227,G229)</f>
        <v>12.236819177239823</v>
      </c>
      <c r="H208" s="1">
        <f t="shared" si="117"/>
        <v>13.402387366922188</v>
      </c>
      <c r="I208" s="1">
        <f t="shared" si="117"/>
        <v>16.900582301389939</v>
      </c>
      <c r="J208" s="1">
        <f t="shared" si="117"/>
        <v>10.042250313412893</v>
      </c>
      <c r="K208" s="1">
        <f t="shared" si="117"/>
        <v>4.8943214789334437</v>
      </c>
    </row>
    <row r="209" spans="1:11" x14ac:dyDescent="0.25">
      <c r="A209" s="5" t="s">
        <v>5</v>
      </c>
      <c r="B209" s="5" t="str">
        <f t="shared" si="97"/>
        <v>SPS3</v>
      </c>
      <c r="C209" s="5" t="s">
        <v>7</v>
      </c>
      <c r="D209" t="s">
        <v>819</v>
      </c>
      <c r="E209" t="str">
        <f>E168</f>
        <v>PJ/yr.</v>
      </c>
      <c r="F209" s="1">
        <f>+F210</f>
        <v>2.6346777749372419</v>
      </c>
      <c r="G209" s="1">
        <f t="shared" ref="G209:K209" si="118">+G210</f>
        <v>1.122251599507144</v>
      </c>
      <c r="H209" s="1">
        <f t="shared" si="118"/>
        <v>5.9774093135941673</v>
      </c>
      <c r="I209" s="1">
        <f t="shared" si="118"/>
        <v>8.251433391329158</v>
      </c>
      <c r="J209" s="1">
        <f t="shared" si="118"/>
        <v>4.2336951150726501</v>
      </c>
      <c r="K209" s="1">
        <f t="shared" si="118"/>
        <v>3.2766077190564125E-2</v>
      </c>
    </row>
    <row r="210" spans="1:11" x14ac:dyDescent="0.25">
      <c r="A210" s="5" t="s">
        <v>5</v>
      </c>
      <c r="B210" s="5" t="str">
        <f t="shared" si="97"/>
        <v>SPS3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2.6346777749372419</v>
      </c>
      <c r="G210" s="1">
        <f>'[1]Electricity and CHPs'!C$97+G214</f>
        <v>1.122251599507144</v>
      </c>
      <c r="H210" s="1">
        <f>'[1]Electricity and CHPs'!D$97+H214</f>
        <v>5.9774093135941673</v>
      </c>
      <c r="I210" s="1">
        <f>'[1]Electricity and CHPs'!E$97+I214</f>
        <v>8.251433391329158</v>
      </c>
      <c r="J210" s="1">
        <f>'[1]Electricity and CHPs'!F$97+J214</f>
        <v>4.2336951150726501</v>
      </c>
      <c r="K210" s="1">
        <f>'[1]Electricity and CHPs'!G$97+K214</f>
        <v>3.2766077190564125E-2</v>
      </c>
    </row>
    <row r="211" spans="1:11" x14ac:dyDescent="0.25">
      <c r="A211" s="5"/>
      <c r="B211" s="5" t="str">
        <f t="shared" si="97"/>
        <v>SPS3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1.732901331707283</v>
      </c>
      <c r="G211" s="1">
        <f t="shared" ref="G211:K211" si="119">G212</f>
        <v>0.8201006693479036</v>
      </c>
      <c r="H211" s="1">
        <f t="shared" si="119"/>
        <v>5.9753850953351897</v>
      </c>
      <c r="I211" s="1">
        <f t="shared" si="119"/>
        <v>5.9477909579930026</v>
      </c>
      <c r="J211" s="1">
        <f t="shared" si="119"/>
        <v>1.6514694684531008</v>
      </c>
      <c r="K211" s="1">
        <f t="shared" si="119"/>
        <v>1.2786503303763297E-4</v>
      </c>
    </row>
    <row r="212" spans="1:11" x14ac:dyDescent="0.25">
      <c r="A212" s="5" t="s">
        <v>5</v>
      </c>
      <c r="B212" s="5" t="str">
        <f t="shared" si="97"/>
        <v>SPS3</v>
      </c>
      <c r="C212" s="5" t="s">
        <v>7</v>
      </c>
      <c r="D212" t="s">
        <v>820</v>
      </c>
      <c r="E212" t="str">
        <f>E169</f>
        <v>PJ/yr.</v>
      </c>
      <c r="F212" s="1">
        <f>F210-F214</f>
        <v>1.732901331707283</v>
      </c>
      <c r="G212" s="1">
        <f t="shared" ref="G212:K212" si="120">G210-G214</f>
        <v>0.8201006693479036</v>
      </c>
      <c r="H212" s="1">
        <f t="shared" si="120"/>
        <v>5.9753850953351897</v>
      </c>
      <c r="I212" s="1">
        <f t="shared" si="120"/>
        <v>5.9477909579930026</v>
      </c>
      <c r="J212" s="1">
        <f t="shared" si="120"/>
        <v>1.6514694684531008</v>
      </c>
      <c r="K212" s="1">
        <f t="shared" si="120"/>
        <v>1.2786503303763297E-4</v>
      </c>
    </row>
    <row r="213" spans="1:11" x14ac:dyDescent="0.25">
      <c r="A213" s="5"/>
      <c r="B213" s="5" t="str">
        <f t="shared" si="97"/>
        <v>SPS3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0.90177644322995876</v>
      </c>
      <c r="G213" s="1">
        <f t="shared" ref="G213:K213" si="121">G214</f>
        <v>0.30215093015924038</v>
      </c>
      <c r="H213" s="1">
        <f t="shared" si="121"/>
        <v>2.024218258977693E-3</v>
      </c>
      <c r="I213" s="1">
        <f t="shared" si="121"/>
        <v>2.3036424333361554</v>
      </c>
      <c r="J213" s="1">
        <f t="shared" si="121"/>
        <v>2.5822256466195492</v>
      </c>
      <c r="K213" s="1">
        <f t="shared" si="121"/>
        <v>3.2638212157526492E-2</v>
      </c>
    </row>
    <row r="214" spans="1:11" x14ac:dyDescent="0.25">
      <c r="A214" s="5" t="s">
        <v>5</v>
      </c>
      <c r="B214" s="5" t="str">
        <f t="shared" si="97"/>
        <v>SPS3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0.90177644322995876</v>
      </c>
      <c r="G214" s="1">
        <f>'[1]Electricity and CHPs'!C$98</f>
        <v>0.30215093015924038</v>
      </c>
      <c r="H214" s="1">
        <f>'[1]Electricity and CHPs'!D$98</f>
        <v>2.024218258977693E-3</v>
      </c>
      <c r="I214" s="1">
        <f>'[1]Electricity and CHPs'!E$98</f>
        <v>2.3036424333361554</v>
      </c>
      <c r="J214" s="1">
        <f>'[1]Electricity and CHPs'!F$98</f>
        <v>2.5822256466195492</v>
      </c>
      <c r="K214" s="1">
        <f>'[1]Electricity and CHPs'!G$98</f>
        <v>3.2638212157526492E-2</v>
      </c>
    </row>
    <row r="215" spans="1:11" x14ac:dyDescent="0.25">
      <c r="A215" s="5" t="s">
        <v>5</v>
      </c>
      <c r="B215" s="5" t="str">
        <f t="shared" si="97"/>
        <v>SPS3</v>
      </c>
      <c r="C215" s="5" t="s">
        <v>7</v>
      </c>
      <c r="D215" t="s">
        <v>825</v>
      </c>
      <c r="E215" t="str">
        <f>E170</f>
        <v>PJ/yr.</v>
      </c>
      <c r="F215" s="1">
        <f>+F216</f>
        <v>1.4500056911925576</v>
      </c>
      <c r="G215" s="1">
        <f t="shared" ref="G215:K215" si="122">+G216</f>
        <v>3.8016676618055705</v>
      </c>
      <c r="H215" s="1">
        <f t="shared" si="122"/>
        <v>3.8003323235392847</v>
      </c>
      <c r="I215" s="1">
        <f t="shared" si="122"/>
        <v>1.0357994872748932</v>
      </c>
      <c r="J215" s="1">
        <f t="shared" si="122"/>
        <v>0</v>
      </c>
      <c r="K215" s="1">
        <f t="shared" si="122"/>
        <v>0</v>
      </c>
    </row>
    <row r="216" spans="1:11" x14ac:dyDescent="0.25">
      <c r="A216" s="5" t="s">
        <v>5</v>
      </c>
      <c r="B216" s="5" t="str">
        <f t="shared" si="97"/>
        <v>SPS3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1.4500056911925576</v>
      </c>
      <c r="G216" s="1">
        <f>'[1]Electricity and CHPs'!C$99</f>
        <v>3.8016676618055705</v>
      </c>
      <c r="H216" s="1">
        <f>'[1]Electricity and CHPs'!D$99</f>
        <v>3.8003323235392847</v>
      </c>
      <c r="I216" s="1">
        <f>'[1]Electricity and CHPs'!E$99</f>
        <v>1.0357994872748932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tr">
        <f t="shared" si="97"/>
        <v>SPS3</v>
      </c>
      <c r="C217" s="5" t="s">
        <v>7</v>
      </c>
      <c r="D217" t="s">
        <v>826</v>
      </c>
      <c r="E217" t="str">
        <f>E171</f>
        <v>PJ/yr.</v>
      </c>
      <c r="F217" s="1">
        <f>+F218</f>
        <v>0.18407144809799639</v>
      </c>
      <c r="G217" s="1">
        <f t="shared" ref="G217:K217" si="123">+G218</f>
        <v>3.5488070379658505</v>
      </c>
      <c r="H217" s="1">
        <f t="shared" si="123"/>
        <v>2.0855130306536534E-3</v>
      </c>
      <c r="I217" s="1">
        <f t="shared" si="123"/>
        <v>6.3121469967948336E-3</v>
      </c>
      <c r="J217" s="1">
        <f t="shared" si="123"/>
        <v>3.9143621914446651E-4</v>
      </c>
      <c r="K217" s="1">
        <f t="shared" si="123"/>
        <v>0</v>
      </c>
    </row>
    <row r="218" spans="1:11" x14ac:dyDescent="0.25">
      <c r="A218" s="5" t="s">
        <v>5</v>
      </c>
      <c r="B218" s="5" t="str">
        <f t="shared" si="97"/>
        <v>SPS3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0.18407144809799639</v>
      </c>
      <c r="G218" s="1">
        <f>'[1]Electricity and CHPs'!C$100</f>
        <v>3.5488070379658505</v>
      </c>
      <c r="H218" s="1">
        <f>'[1]Electricity and CHPs'!D$100</f>
        <v>2.0855130306536534E-3</v>
      </c>
      <c r="I218" s="1">
        <f>'[1]Electricity and CHPs'!E$100</f>
        <v>6.3121469967948336E-3</v>
      </c>
      <c r="J218" s="1">
        <f>'[1]Electricity and CHPs'!F$100</f>
        <v>3.9143621914446651E-4</v>
      </c>
      <c r="K218" s="1">
        <f>'[1]Electricity and CHPs'!G$100</f>
        <v>0</v>
      </c>
    </row>
    <row r="219" spans="1:11" x14ac:dyDescent="0.25">
      <c r="A219" s="5"/>
      <c r="B219" s="5" t="str">
        <f t="shared" si="97"/>
        <v>SPS3</v>
      </c>
      <c r="C219" s="5" t="s">
        <v>7</v>
      </c>
      <c r="D219" t="s">
        <v>827</v>
      </c>
      <c r="E219" t="str">
        <f>E171</f>
        <v>PJ/yr.</v>
      </c>
      <c r="F219" s="1">
        <f>F220</f>
        <v>0.18407144809799639</v>
      </c>
      <c r="G219" s="1">
        <f t="shared" ref="G219:K219" si="124">G220</f>
        <v>3.5488070379658505</v>
      </c>
      <c r="H219" s="1">
        <f t="shared" si="124"/>
        <v>2.0855130306536534E-3</v>
      </c>
      <c r="I219" s="1">
        <f t="shared" si="124"/>
        <v>6.3121469967948336E-3</v>
      </c>
      <c r="J219" s="1">
        <f t="shared" si="124"/>
        <v>3.9143621914446651E-4</v>
      </c>
      <c r="K219" s="1">
        <f t="shared" si="124"/>
        <v>0</v>
      </c>
    </row>
    <row r="220" spans="1:11" x14ac:dyDescent="0.25">
      <c r="A220" s="5" t="s">
        <v>5</v>
      </c>
      <c r="B220" s="5" t="str">
        <f t="shared" si="97"/>
        <v>SPS3</v>
      </c>
      <c r="C220" s="5" t="s">
        <v>7</v>
      </c>
      <c r="D220" t="s">
        <v>518</v>
      </c>
      <c r="E220" t="str">
        <f>E172</f>
        <v>PJ/yr.</v>
      </c>
      <c r="F220" s="1">
        <f>F218-F222</f>
        <v>0.18407144809799639</v>
      </c>
      <c r="G220" s="1">
        <f t="shared" ref="G220:K220" si="125">G218-G222</f>
        <v>3.5488070379658505</v>
      </c>
      <c r="H220" s="1">
        <f t="shared" si="125"/>
        <v>2.0855130306536534E-3</v>
      </c>
      <c r="I220" s="1">
        <f t="shared" si="125"/>
        <v>6.3121469967948336E-3</v>
      </c>
      <c r="J220" s="1">
        <f t="shared" si="125"/>
        <v>3.9143621914446651E-4</v>
      </c>
      <c r="K220" s="1">
        <f t="shared" si="125"/>
        <v>0</v>
      </c>
    </row>
    <row r="221" spans="1:11" x14ac:dyDescent="0.25">
      <c r="A221" s="5"/>
      <c r="B221" s="5" t="str">
        <f t="shared" si="97"/>
        <v>SPS3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26">G222</f>
        <v>0</v>
      </c>
      <c r="H221" s="1">
        <f t="shared" si="126"/>
        <v>0</v>
      </c>
      <c r="I221" s="1">
        <f t="shared" si="126"/>
        <v>0</v>
      </c>
      <c r="J221" s="1">
        <f t="shared" si="126"/>
        <v>0</v>
      </c>
      <c r="K221" s="1">
        <f t="shared" si="126"/>
        <v>0</v>
      </c>
    </row>
    <row r="222" spans="1:11" x14ac:dyDescent="0.25">
      <c r="A222" s="5" t="s">
        <v>5</v>
      </c>
      <c r="B222" s="5" t="str">
        <f t="shared" si="97"/>
        <v>SPS3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tr">
        <f t="shared" si="97"/>
        <v>SPS3</v>
      </c>
      <c r="C223" s="5" t="s">
        <v>7</v>
      </c>
      <c r="D223" t="s">
        <v>829</v>
      </c>
      <c r="E223" t="str">
        <f>E172</f>
        <v>PJ/yr.</v>
      </c>
      <c r="F223" s="1">
        <f>+F224</f>
        <v>1.6377257371452567</v>
      </c>
      <c r="G223" s="1">
        <f t="shared" ref="G223:K223" si="127">+G224</f>
        <v>1.478048228769828</v>
      </c>
      <c r="H223" s="1">
        <f t="shared" si="127"/>
        <v>1.2672449252197404</v>
      </c>
      <c r="I223" s="1">
        <f t="shared" si="127"/>
        <v>5.1312068308121681</v>
      </c>
      <c r="J223" s="1">
        <f t="shared" si="127"/>
        <v>3.0722789883699986</v>
      </c>
      <c r="K223" s="1">
        <f t="shared" si="127"/>
        <v>1.8394876117824277</v>
      </c>
    </row>
    <row r="224" spans="1:11" x14ac:dyDescent="0.25">
      <c r="A224" s="5" t="s">
        <v>5</v>
      </c>
      <c r="B224" s="5" t="str">
        <f t="shared" si="97"/>
        <v>SPS3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1.6377257371452567</v>
      </c>
      <c r="G224" s="1">
        <f>'[1]Electricity and CHPs'!C$101</f>
        <v>1.478048228769828</v>
      </c>
      <c r="H224" s="1">
        <f>'[1]Electricity and CHPs'!D$101</f>
        <v>1.2672449252197404</v>
      </c>
      <c r="I224" s="1">
        <f>'[1]Electricity and CHPs'!E$101</f>
        <v>5.1312068308121681</v>
      </c>
      <c r="J224" s="1">
        <f>'[1]Electricity and CHPs'!F$101</f>
        <v>3.0722789883699986</v>
      </c>
      <c r="K224" s="1">
        <f>'[1]Electricity and CHPs'!G$101</f>
        <v>1.8394876117824277</v>
      </c>
    </row>
    <row r="225" spans="1:11" x14ac:dyDescent="0.25">
      <c r="A225" s="5" t="s">
        <v>5</v>
      </c>
      <c r="B225" s="5" t="str">
        <f t="shared" si="97"/>
        <v>SPS3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28">+G226</f>
        <v>0</v>
      </c>
      <c r="H225" s="1">
        <f t="shared" si="128"/>
        <v>0</v>
      </c>
      <c r="I225" s="1">
        <f t="shared" si="128"/>
        <v>3.701272732309313E-4</v>
      </c>
      <c r="J225" s="1">
        <f t="shared" si="128"/>
        <v>3.6993767420699544E-4</v>
      </c>
      <c r="K225" s="1">
        <f t="shared" si="128"/>
        <v>3.7027152265877193E-4</v>
      </c>
    </row>
    <row r="226" spans="1:11" x14ac:dyDescent="0.25">
      <c r="A226" s="5" t="s">
        <v>5</v>
      </c>
      <c r="B226" s="5" t="str">
        <f t="shared" si="97"/>
        <v>SPS3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3.701272732309313E-4</v>
      </c>
      <c r="J226" s="1">
        <f>'[1]Electricity and CHPs'!F$102</f>
        <v>3.6993767420699544E-4</v>
      </c>
      <c r="K226" s="1">
        <f>'[1]Electricity and CHPs'!G$102</f>
        <v>3.7027152265877193E-4</v>
      </c>
    </row>
    <row r="227" spans="1:11" x14ac:dyDescent="0.25">
      <c r="A227" s="5" t="s">
        <v>5</v>
      </c>
      <c r="B227" s="5" t="str">
        <f t="shared" si="97"/>
        <v>SPS3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29">+G228</f>
        <v>0</v>
      </c>
      <c r="H227" s="1">
        <f t="shared" si="129"/>
        <v>0</v>
      </c>
      <c r="I227" s="1">
        <f t="shared" si="129"/>
        <v>0</v>
      </c>
      <c r="J227" s="1">
        <f t="shared" si="129"/>
        <v>1.0651287891111434E-3</v>
      </c>
      <c r="K227" s="1">
        <f t="shared" si="129"/>
        <v>1.1654230294838028E-3</v>
      </c>
    </row>
    <row r="228" spans="1:11" x14ac:dyDescent="0.25">
      <c r="A228" s="5" t="s">
        <v>5</v>
      </c>
      <c r="B228" s="5" t="str">
        <f t="shared" si="97"/>
        <v>SPS3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1.0651287891111434E-3</v>
      </c>
      <c r="K228" s="1">
        <f>'[1]Electricity and CHPs'!G$90</f>
        <v>1.1654230294838028E-3</v>
      </c>
    </row>
    <row r="229" spans="1:11" x14ac:dyDescent="0.25">
      <c r="A229" s="5" t="s">
        <v>5</v>
      </c>
      <c r="B229" s="5" t="str">
        <f t="shared" si="97"/>
        <v>SPS3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30">+G230</f>
        <v>2.2860446491914312</v>
      </c>
      <c r="H229" s="1">
        <f t="shared" si="130"/>
        <v>2.3553152915383402</v>
      </c>
      <c r="I229" s="1">
        <f t="shared" si="130"/>
        <v>2.4754603177036962</v>
      </c>
      <c r="J229" s="1">
        <f t="shared" si="130"/>
        <v>2.7344497072877814</v>
      </c>
      <c r="K229" s="1">
        <f t="shared" si="130"/>
        <v>3.0205320954083099</v>
      </c>
    </row>
    <row r="230" spans="1:11" x14ac:dyDescent="0.25">
      <c r="A230" s="5" t="s">
        <v>5</v>
      </c>
      <c r="B230" s="5" t="str">
        <f t="shared" si="97"/>
        <v>SPS3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2.2860446491914312</v>
      </c>
      <c r="H230" s="1">
        <f>'[1]Electricity and CHPs'!D$123</f>
        <v>2.3553152915383402</v>
      </c>
      <c r="I230" s="1">
        <f>'[1]Electricity and CHPs'!E$123</f>
        <v>2.4754603177036962</v>
      </c>
      <c r="J230" s="1">
        <f>'[1]Electricity and CHPs'!F$123</f>
        <v>2.7344497072877814</v>
      </c>
      <c r="K230" s="1">
        <f>'[1]Electricity and CHPs'!G$123</f>
        <v>3.0205320954083099</v>
      </c>
    </row>
    <row r="231" spans="1:11" x14ac:dyDescent="0.25">
      <c r="A231" s="5" t="s">
        <v>5</v>
      </c>
      <c r="B231" s="5" t="str">
        <f t="shared" si="97"/>
        <v>SPS3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6.5418353876421032</v>
      </c>
      <c r="G231" s="1">
        <f t="shared" ref="G231:K231" si="131">SUM(G232,G238,G271,G280,G286)</f>
        <v>8.1859660364963425</v>
      </c>
      <c r="H231" s="1">
        <f t="shared" si="131"/>
        <v>7.5310084267301374</v>
      </c>
      <c r="I231" s="1">
        <f t="shared" si="131"/>
        <v>9.6252542031959898</v>
      </c>
      <c r="J231" s="1">
        <f t="shared" si="131"/>
        <v>11.627529189198251</v>
      </c>
      <c r="K231" s="1">
        <f t="shared" si="131"/>
        <v>16.36193251298852</v>
      </c>
    </row>
    <row r="232" spans="1:11" x14ac:dyDescent="0.25">
      <c r="A232" s="5" t="s">
        <v>5</v>
      </c>
      <c r="B232" s="5" t="str">
        <f t="shared" si="97"/>
        <v>SPS3</v>
      </c>
      <c r="C232" s="5" t="s">
        <v>7</v>
      </c>
      <c r="D232" t="s">
        <v>835</v>
      </c>
      <c r="E232" t="str">
        <f>E169</f>
        <v>PJ/yr.</v>
      </c>
      <c r="F232" s="1">
        <f>+F233</f>
        <v>0.92935573183827624</v>
      </c>
      <c r="G232" s="1">
        <f t="shared" ref="G232:K232" si="132">+G233</f>
        <v>2.0692898139972873</v>
      </c>
      <c r="H232" s="1">
        <f t="shared" si="132"/>
        <v>3.6429513835435606E-2</v>
      </c>
      <c r="I232" s="1">
        <f t="shared" si="132"/>
        <v>1.3159106863708703</v>
      </c>
      <c r="J232" s="1">
        <f t="shared" si="132"/>
        <v>5.1878943139784328E-3</v>
      </c>
      <c r="K232" s="1">
        <f t="shared" si="132"/>
        <v>1.8002662506254305E-2</v>
      </c>
    </row>
    <row r="233" spans="1:11" x14ac:dyDescent="0.25">
      <c r="A233" s="5" t="s">
        <v>5</v>
      </c>
      <c r="B233" s="5" t="str">
        <f t="shared" si="97"/>
        <v>SPS3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0.92935573183827624</v>
      </c>
      <c r="G233" s="1">
        <f>'[1]Electricity and CHPs'!C$104</f>
        <v>2.0692898139972873</v>
      </c>
      <c r="H233" s="1">
        <f>'[1]Electricity and CHPs'!D$104</f>
        <v>3.6429513835435606E-2</v>
      </c>
      <c r="I233" s="1">
        <f>'[1]Electricity and CHPs'!E$104</f>
        <v>1.3159106863708703</v>
      </c>
      <c r="J233" s="1">
        <f>'[1]Electricity and CHPs'!F$104</f>
        <v>5.1878943139784328E-3</v>
      </c>
      <c r="K233" s="1">
        <f>'[1]Electricity and CHPs'!G$104</f>
        <v>1.8002662506254305E-2</v>
      </c>
    </row>
    <row r="234" spans="1:11" x14ac:dyDescent="0.25">
      <c r="A234" s="5"/>
      <c r="B234" s="5" t="str">
        <f t="shared" si="97"/>
        <v>SPS3</v>
      </c>
      <c r="C234" s="5" t="s">
        <v>7</v>
      </c>
      <c r="D234" t="s">
        <v>836</v>
      </c>
      <c r="E234" t="str">
        <f>E169</f>
        <v>PJ/yr.</v>
      </c>
      <c r="F234" s="1">
        <f>F235</f>
        <v>0.92935573183827624</v>
      </c>
      <c r="G234" s="1">
        <f t="shared" ref="G234:K234" si="133">G235</f>
        <v>2.0692898139972873</v>
      </c>
      <c r="H234" s="1">
        <f t="shared" si="133"/>
        <v>3.6429513835435606E-2</v>
      </c>
      <c r="I234" s="1">
        <f t="shared" si="133"/>
        <v>1.3159106863708703</v>
      </c>
      <c r="J234" s="1">
        <f t="shared" si="133"/>
        <v>5.1878943139784328E-3</v>
      </c>
      <c r="K234" s="1">
        <f t="shared" si="133"/>
        <v>1.8002662506254305E-2</v>
      </c>
    </row>
    <row r="235" spans="1:11" x14ac:dyDescent="0.25">
      <c r="A235" s="5" t="s">
        <v>5</v>
      </c>
      <c r="B235" s="5" t="str">
        <f t="shared" si="97"/>
        <v>SPS3</v>
      </c>
      <c r="C235" s="5" t="s">
        <v>7</v>
      </c>
      <c r="D235" t="s">
        <v>519</v>
      </c>
      <c r="E235" t="str">
        <f>E170</f>
        <v>PJ/yr.</v>
      </c>
      <c r="F235" s="1">
        <f>F233-F237</f>
        <v>0.92935573183827624</v>
      </c>
      <c r="G235" s="1">
        <f t="shared" ref="G235:K235" si="134">G233-G237</f>
        <v>2.0692898139972873</v>
      </c>
      <c r="H235" s="1">
        <f t="shared" si="134"/>
        <v>3.6429513835435606E-2</v>
      </c>
      <c r="I235" s="1">
        <f t="shared" si="134"/>
        <v>1.3159106863708703</v>
      </c>
      <c r="J235" s="1">
        <f t="shared" si="134"/>
        <v>5.1878943139784328E-3</v>
      </c>
      <c r="K235" s="1">
        <f t="shared" si="134"/>
        <v>1.8002662506254305E-2</v>
      </c>
    </row>
    <row r="236" spans="1:11" x14ac:dyDescent="0.25">
      <c r="A236" s="5"/>
      <c r="B236" s="5" t="str">
        <f t="shared" si="97"/>
        <v>SPS3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35">G237</f>
        <v>0</v>
      </c>
      <c r="H236" s="1">
        <f t="shared" si="135"/>
        <v>0</v>
      </c>
      <c r="I236" s="1">
        <f t="shared" si="135"/>
        <v>0</v>
      </c>
      <c r="J236" s="1">
        <f t="shared" si="135"/>
        <v>0</v>
      </c>
      <c r="K236" s="1">
        <f t="shared" si="135"/>
        <v>0</v>
      </c>
    </row>
    <row r="237" spans="1:11" x14ac:dyDescent="0.25">
      <c r="A237" s="5" t="s">
        <v>5</v>
      </c>
      <c r="B237" s="5" t="str">
        <f t="shared" si="97"/>
        <v>SPS3</v>
      </c>
      <c r="C237" s="5" t="s">
        <v>7</v>
      </c>
      <c r="D237" t="s">
        <v>543</v>
      </c>
      <c r="E237" t="str">
        <f>E171</f>
        <v>PJ/yr.</v>
      </c>
      <c r="F237" s="1">
        <f t="shared" ref="F237:K237" si="136">F233*IFERROR(F79/F75,0)</f>
        <v>0</v>
      </c>
      <c r="G237" s="1">
        <f t="shared" si="136"/>
        <v>0</v>
      </c>
      <c r="H237" s="1">
        <f t="shared" si="136"/>
        <v>0</v>
      </c>
      <c r="I237" s="1">
        <f t="shared" si="136"/>
        <v>0</v>
      </c>
      <c r="J237" s="1">
        <f t="shared" si="136"/>
        <v>0</v>
      </c>
      <c r="K237" s="1">
        <f t="shared" si="136"/>
        <v>0</v>
      </c>
    </row>
    <row r="238" spans="1:11" x14ac:dyDescent="0.25">
      <c r="A238" s="5" t="s">
        <v>5</v>
      </c>
      <c r="B238" s="5" t="str">
        <f t="shared" si="97"/>
        <v>SPS3</v>
      </c>
      <c r="C238" s="5" t="s">
        <v>7</v>
      </c>
      <c r="D238" t="s">
        <v>838</v>
      </c>
      <c r="E238" t="str">
        <f>E171</f>
        <v>PJ/yr.</v>
      </c>
      <c r="F238" s="1">
        <f>SUM(F239:F248)</f>
        <v>3.0174047030491442</v>
      </c>
      <c r="G238" s="1">
        <f t="shared" ref="G238:K238" si="137">SUM(G239:G248)</f>
        <v>2.4701446827820464</v>
      </c>
      <c r="H238" s="1">
        <f t="shared" si="137"/>
        <v>1.5785277815173386</v>
      </c>
      <c r="I238" s="1">
        <f t="shared" si="137"/>
        <v>1.364336135035827</v>
      </c>
      <c r="J238" s="1">
        <f t="shared" si="137"/>
        <v>4.5330900430811809</v>
      </c>
      <c r="K238" s="1">
        <f t="shared" si="137"/>
        <v>5.1056997121226848</v>
      </c>
    </row>
    <row r="239" spans="1:11" x14ac:dyDescent="0.25">
      <c r="A239" s="5" t="s">
        <v>5</v>
      </c>
      <c r="B239" s="5" t="str">
        <f t="shared" si="97"/>
        <v>SPS3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0.77234776085170642</v>
      </c>
      <c r="G239" s="1">
        <f>'[1]Electricity and CHPs_IN'!C$39*0.75-G86-G240</f>
        <v>0.1146022201183421</v>
      </c>
      <c r="H239" s="1">
        <f>'[1]Electricity and CHPs_IN'!D$39*0.75-H86-H240</f>
        <v>5.674160876285237E-2</v>
      </c>
      <c r="I239" s="1">
        <f>'[1]Electricity and CHPs_IN'!E$39*0.75-I86-I240</f>
        <v>2.6515624652714027E-2</v>
      </c>
      <c r="J239" s="1">
        <f>'[1]Electricity and CHPs'!F$103-J240</f>
        <v>6.4098013931178279E-3</v>
      </c>
      <c r="K239" s="1">
        <f>'[1]Electricity and CHPs'!G$103-K240</f>
        <v>1.3567233941409868E-2</v>
      </c>
    </row>
    <row r="240" spans="1:11" x14ac:dyDescent="0.25">
      <c r="A240" s="5" t="s">
        <v>5</v>
      </c>
      <c r="B240" s="5" t="str">
        <f t="shared" si="97"/>
        <v>SPS3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8.5872667406736343E-4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7.8663654370101956E-3</v>
      </c>
    </row>
    <row r="241" spans="1:11" x14ac:dyDescent="0.25">
      <c r="A241" s="5" t="s">
        <v>5</v>
      </c>
      <c r="B241" s="5" t="str">
        <f t="shared" si="97"/>
        <v>SPS3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2.3540476951869693E-4</v>
      </c>
      <c r="J241" s="1">
        <f>'[1]Electricity and CHPs'!F$107</f>
        <v>7.5027976778830295E-4</v>
      </c>
      <c r="K241" s="1">
        <f>'[1]Electricity and CHPs'!G$107</f>
        <v>1.9630472633439842</v>
      </c>
    </row>
    <row r="242" spans="1:11" x14ac:dyDescent="0.25">
      <c r="A242" s="5" t="s">
        <v>5</v>
      </c>
      <c r="B242" s="5" t="str">
        <f t="shared" si="97"/>
        <v>SPS3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4.2738166852198445E-2</v>
      </c>
      <c r="G242" s="1">
        <f>'[1]Electricity and CHPs'!C$109</f>
        <v>2.0652214335300415E-2</v>
      </c>
      <c r="H242" s="1">
        <f>'[1]Electricity and CHPs'!D$109</f>
        <v>1.6284996945464925E-2</v>
      </c>
      <c r="I242" s="1">
        <f>'[1]Electricity and CHPs'!E$109</f>
        <v>6.6448715904096657E-3</v>
      </c>
      <c r="J242" s="1">
        <f>'[1]Electricity and CHPs'!F$109</f>
        <v>3.7641111530586233E-2</v>
      </c>
      <c r="K242" s="1">
        <f>'[1]Electricity and CHPs'!G$109</f>
        <v>1.1761004932103714E-2</v>
      </c>
    </row>
    <row r="243" spans="1:11" x14ac:dyDescent="0.25">
      <c r="A243" s="5" t="s">
        <v>5</v>
      </c>
      <c r="B243" s="5" t="str">
        <f t="shared" si="97"/>
        <v>SPS3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tr">
        <f t="shared" ref="B244:B307" si="138">B243</f>
        <v>SPS3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8.5425829414504759E-2</v>
      </c>
      <c r="G244" s="1">
        <f>'[1]Electricity and CHPs'!C$112</f>
        <v>6.2524293217253576E-3</v>
      </c>
      <c r="H244" s="1">
        <f>'[1]Electricity and CHPs'!D$112</f>
        <v>1.9712822551552225E-2</v>
      </c>
      <c r="I244" s="1">
        <f>'[1]Electricity and CHPs'!E$112</f>
        <v>6.1995732984835468E-3</v>
      </c>
      <c r="J244" s="1">
        <f>'[1]Electricity and CHPs'!F$112</f>
        <v>3.4677008588417539</v>
      </c>
      <c r="K244" s="1">
        <f>'[1]Electricity and CHPs'!G$112</f>
        <v>2.0848429514484788</v>
      </c>
    </row>
    <row r="245" spans="1:11" x14ac:dyDescent="0.25">
      <c r="A245" s="5" t="s">
        <v>5</v>
      </c>
      <c r="B245" s="5" t="str">
        <f t="shared" si="138"/>
        <v>SPS3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tr">
        <f t="shared" si="138"/>
        <v>SPS3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1.424310563654253</v>
      </c>
      <c r="G246" s="1">
        <f>'[1]Electricity and CHPs'!C$115</f>
        <v>1.5783618256687013</v>
      </c>
      <c r="H246" s="1">
        <f>'[1]Electricity and CHPs'!D$115</f>
        <v>1.4829569072472446</v>
      </c>
      <c r="I246" s="1">
        <f>'[1]Electricity and CHPs'!E$115</f>
        <v>1.3239499675902595</v>
      </c>
      <c r="J246" s="1">
        <f>'[1]Electricity and CHPs'!F$115</f>
        <v>1.0060952768151468</v>
      </c>
      <c r="K246" s="1">
        <f>'[1]Electricity and CHPs'!G$115</f>
        <v>1.0060957472263621</v>
      </c>
    </row>
    <row r="247" spans="1:11" x14ac:dyDescent="0.25">
      <c r="A247" s="5" t="s">
        <v>5</v>
      </c>
      <c r="B247" s="5" t="str">
        <f t="shared" si="138"/>
        <v>SPS3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0.69258238227648128</v>
      </c>
      <c r="G247" s="1">
        <f>'[1]Electricity and CHPs'!C$116</f>
        <v>0.75027599333797712</v>
      </c>
      <c r="H247" s="1">
        <f>'[1]Electricity and CHPs'!D$116</f>
        <v>2.8314460102245691E-3</v>
      </c>
      <c r="I247" s="1">
        <f>'[1]Electricity and CHPs'!E$116</f>
        <v>7.2768325578505895E-4</v>
      </c>
      <c r="J247" s="1">
        <f>'[1]Electricity and CHPs'!F$116</f>
        <v>1.172370103239734E-2</v>
      </c>
      <c r="K247" s="1">
        <f>'[1]Electricity and CHPs'!G$116</f>
        <v>5.5354046152562722E-4</v>
      </c>
    </row>
    <row r="248" spans="1:11" x14ac:dyDescent="0.25">
      <c r="A248" s="5" t="s">
        <v>5</v>
      </c>
      <c r="B248" s="5" t="str">
        <f t="shared" si="138"/>
        <v>SPS3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6.3009878656403244E-5</v>
      </c>
      <c r="J248" s="1">
        <f>'[1]Electricity and CHPs'!F$118</f>
        <v>1.910287026322795E-3</v>
      </c>
      <c r="K248" s="1">
        <f>'[1]Electricity and CHPs'!G$118</f>
        <v>1.7965605331811092E-2</v>
      </c>
    </row>
    <row r="249" spans="1:11" x14ac:dyDescent="0.25">
      <c r="A249" s="5" t="s">
        <v>5</v>
      </c>
      <c r="B249" s="5" t="str">
        <f t="shared" si="138"/>
        <v>SPS3</v>
      </c>
      <c r="C249" s="5" t="s">
        <v>7</v>
      </c>
      <c r="D249" t="s">
        <v>839</v>
      </c>
      <c r="E249" t="str">
        <f>E172</f>
        <v>PJ/yr.</v>
      </c>
      <c r="F249" s="1">
        <f>SUM(F250:F259)</f>
        <v>1.5520564566266712</v>
      </c>
      <c r="G249" s="1">
        <f t="shared" ref="G249:K249" si="139">SUM(G250:G259)</f>
        <v>0.8635437115910205</v>
      </c>
      <c r="H249" s="1">
        <f t="shared" si="139"/>
        <v>8.5080560253579698E-2</v>
      </c>
      <c r="I249" s="1">
        <f t="shared" si="139"/>
        <v>4.0375797584976669E-2</v>
      </c>
      <c r="J249" s="1">
        <f t="shared" si="139"/>
        <v>2.9863080412960747</v>
      </c>
      <c r="K249" s="1">
        <f t="shared" si="139"/>
        <v>2.2666857498854589</v>
      </c>
    </row>
    <row r="250" spans="1:11" x14ac:dyDescent="0.25">
      <c r="A250" s="5" t="s">
        <v>5</v>
      </c>
      <c r="B250" s="5" t="str">
        <f t="shared" si="138"/>
        <v>SPS3</v>
      </c>
      <c r="C250" s="5" t="s">
        <v>7</v>
      </c>
      <c r="D250" t="s">
        <v>569</v>
      </c>
      <c r="E250" t="str">
        <f>E172</f>
        <v>PJ/yr.</v>
      </c>
      <c r="F250" s="1">
        <f t="shared" ref="F250:K252" si="140">F239-F261</f>
        <v>0.75245228724923874</v>
      </c>
      <c r="G250" s="1">
        <f t="shared" si="140"/>
        <v>0.11097323269692097</v>
      </c>
      <c r="H250" s="1">
        <f t="shared" si="140"/>
        <v>5.0513379731041717E-2</v>
      </c>
      <c r="I250" s="1">
        <f t="shared" si="140"/>
        <v>2.6508816298554266E-2</v>
      </c>
      <c r="J250" s="1">
        <f t="shared" si="140"/>
        <v>5.4271816977044928E-3</v>
      </c>
      <c r="K250" s="1">
        <f t="shared" si="140"/>
        <v>7.5013723529594152E-3</v>
      </c>
    </row>
    <row r="251" spans="1:11" x14ac:dyDescent="0.25">
      <c r="A251" s="5" t="s">
        <v>5</v>
      </c>
      <c r="B251" s="5" t="str">
        <f t="shared" si="138"/>
        <v>SPS3</v>
      </c>
      <c r="C251" s="5" t="s">
        <v>7</v>
      </c>
      <c r="D251" t="s">
        <v>570</v>
      </c>
      <c r="E251" t="str">
        <f>E173</f>
        <v>PJ/yr.</v>
      </c>
      <c r="F251" s="1">
        <f t="shared" si="140"/>
        <v>0</v>
      </c>
      <c r="G251" s="1">
        <f t="shared" si="140"/>
        <v>0</v>
      </c>
      <c r="H251" s="1">
        <f t="shared" si="140"/>
        <v>0</v>
      </c>
      <c r="I251" s="1">
        <f t="shared" si="140"/>
        <v>0</v>
      </c>
      <c r="J251" s="1">
        <f t="shared" si="140"/>
        <v>7.2708425784189889E-4</v>
      </c>
      <c r="K251" s="1">
        <f t="shared" si="140"/>
        <v>4.3493416905975302E-3</v>
      </c>
    </row>
    <row r="252" spans="1:11" x14ac:dyDescent="0.25">
      <c r="A252" s="5" t="s">
        <v>5</v>
      </c>
      <c r="B252" s="5" t="str">
        <f t="shared" si="138"/>
        <v>SPS3</v>
      </c>
      <c r="C252" s="5" t="s">
        <v>7</v>
      </c>
      <c r="D252" t="s">
        <v>571</v>
      </c>
      <c r="E252" t="str">
        <f>E174</f>
        <v>PJ/yr.</v>
      </c>
      <c r="F252" s="1">
        <f t="shared" si="140"/>
        <v>0</v>
      </c>
      <c r="G252" s="1">
        <f t="shared" si="140"/>
        <v>0</v>
      </c>
      <c r="H252" s="1">
        <f t="shared" si="140"/>
        <v>0</v>
      </c>
      <c r="I252" s="1">
        <f t="shared" si="140"/>
        <v>2.3534432519340675E-4</v>
      </c>
      <c r="J252" s="1">
        <f t="shared" si="140"/>
        <v>6.3526221393858445E-4</v>
      </c>
      <c r="K252" s="1">
        <f t="shared" si="140"/>
        <v>1.0853758792981325</v>
      </c>
    </row>
    <row r="253" spans="1:11" x14ac:dyDescent="0.25">
      <c r="A253" s="5" t="s">
        <v>5</v>
      </c>
      <c r="B253" s="5" t="str">
        <f t="shared" si="138"/>
        <v>SPS3</v>
      </c>
      <c r="C253" s="5" t="s">
        <v>7</v>
      </c>
      <c r="D253" t="s">
        <v>572</v>
      </c>
      <c r="E253" t="str">
        <f>E197</f>
        <v>PJ/yr.</v>
      </c>
      <c r="F253" s="1">
        <f>F242-F264</f>
        <v>4.1637243002185458E-2</v>
      </c>
      <c r="G253" s="1">
        <f t="shared" ref="G253:K253" si="141">G242-G264</f>
        <v>1.9998242484057863E-2</v>
      </c>
      <c r="H253" s="1">
        <f t="shared" si="141"/>
        <v>1.4497478174493901E-2</v>
      </c>
      <c r="I253" s="1">
        <f t="shared" si="141"/>
        <v>6.6431654024647771E-3</v>
      </c>
      <c r="J253" s="1">
        <f t="shared" si="141"/>
        <v>3.1870745917243412E-2</v>
      </c>
      <c r="K253" s="1">
        <f t="shared" si="141"/>
        <v>6.50270184930077E-3</v>
      </c>
    </row>
    <row r="254" spans="1:11" x14ac:dyDescent="0.25">
      <c r="A254" s="5" t="s">
        <v>5</v>
      </c>
      <c r="B254" s="5" t="str">
        <f t="shared" si="138"/>
        <v>SPS3</v>
      </c>
      <c r="C254" s="5" t="s">
        <v>7</v>
      </c>
      <c r="D254" t="s">
        <v>573</v>
      </c>
      <c r="E254" t="str">
        <f>E199</f>
        <v>PJ/yr.</v>
      </c>
      <c r="F254" s="1">
        <f t="shared" ref="F254:K254" si="142">F243-F265</f>
        <v>0</v>
      </c>
      <c r="G254" s="1">
        <f t="shared" si="142"/>
        <v>0</v>
      </c>
      <c r="H254" s="1">
        <f t="shared" si="142"/>
        <v>0</v>
      </c>
      <c r="I254" s="1">
        <f t="shared" si="142"/>
        <v>0</v>
      </c>
      <c r="J254" s="1">
        <f t="shared" si="142"/>
        <v>0</v>
      </c>
      <c r="K254" s="1">
        <f t="shared" si="142"/>
        <v>0</v>
      </c>
    </row>
    <row r="255" spans="1:11" x14ac:dyDescent="0.25">
      <c r="A255" s="5" t="s">
        <v>5</v>
      </c>
      <c r="B255" s="5" t="str">
        <f t="shared" si="138"/>
        <v>SPS3</v>
      </c>
      <c r="C255" s="5" t="s">
        <v>7</v>
      </c>
      <c r="D255" t="s">
        <v>574</v>
      </c>
      <c r="E255" t="str">
        <f>E201</f>
        <v>PJ/yr.</v>
      </c>
      <c r="F255" s="1">
        <f t="shared" ref="F255:K255" si="143">F244-F266</f>
        <v>8.3225282691599831E-2</v>
      </c>
      <c r="G255" s="1">
        <f t="shared" si="143"/>
        <v>6.054440248403431E-3</v>
      </c>
      <c r="H255" s="1">
        <f t="shared" si="143"/>
        <v>1.7549049327785466E-2</v>
      </c>
      <c r="I255" s="1">
        <f t="shared" si="143"/>
        <v>6.1979814487267216E-3</v>
      </c>
      <c r="J255" s="1">
        <f t="shared" si="143"/>
        <v>2.9361038634405876</v>
      </c>
      <c r="K255" s="1">
        <f t="shared" si="143"/>
        <v>1.1527171525010755</v>
      </c>
    </row>
    <row r="256" spans="1:11" x14ac:dyDescent="0.25">
      <c r="A256" s="5" t="s">
        <v>5</v>
      </c>
      <c r="B256" s="5" t="str">
        <f t="shared" si="138"/>
        <v>SPS3</v>
      </c>
      <c r="C256" s="5" t="s">
        <v>7</v>
      </c>
      <c r="D256" t="s">
        <v>575</v>
      </c>
      <c r="E256" t="str">
        <f>E202</f>
        <v>PJ/yr.</v>
      </c>
      <c r="F256" s="1">
        <f t="shared" ref="F256:K257" si="144">F245-F267</f>
        <v>0</v>
      </c>
      <c r="G256" s="1">
        <f t="shared" si="144"/>
        <v>0</v>
      </c>
      <c r="H256" s="1">
        <f t="shared" si="144"/>
        <v>0</v>
      </c>
      <c r="I256" s="1">
        <f t="shared" si="144"/>
        <v>0</v>
      </c>
      <c r="J256" s="1">
        <f t="shared" si="144"/>
        <v>0</v>
      </c>
      <c r="K256" s="1">
        <f t="shared" si="144"/>
        <v>0</v>
      </c>
    </row>
    <row r="257" spans="1:18" x14ac:dyDescent="0.25">
      <c r="A257" s="5" t="s">
        <v>5</v>
      </c>
      <c r="B257" s="5" t="str">
        <f t="shared" si="138"/>
        <v>SPS3</v>
      </c>
      <c r="C257" s="5" t="s">
        <v>7</v>
      </c>
      <c r="D257" t="s">
        <v>576</v>
      </c>
      <c r="E257" t="str">
        <f>E239</f>
        <v>PJ/yr.</v>
      </c>
      <c r="F257" s="1">
        <f t="shared" si="144"/>
        <v>0</v>
      </c>
      <c r="G257" s="1">
        <f t="shared" ref="G257:K257" si="145">G246-G268</f>
        <v>0</v>
      </c>
      <c r="H257" s="1">
        <f t="shared" si="145"/>
        <v>0</v>
      </c>
      <c r="I257" s="1">
        <f t="shared" si="145"/>
        <v>0</v>
      </c>
      <c r="J257" s="1">
        <f t="shared" si="145"/>
        <v>0</v>
      </c>
      <c r="K257" s="1">
        <f t="shared" si="145"/>
        <v>0</v>
      </c>
    </row>
    <row r="258" spans="1:18" x14ac:dyDescent="0.25">
      <c r="A258" s="5" t="s">
        <v>5</v>
      </c>
      <c r="B258" s="5" t="str">
        <f t="shared" si="138"/>
        <v>SPS3</v>
      </c>
      <c r="C258" s="5" t="s">
        <v>7</v>
      </c>
      <c r="D258" t="s">
        <v>577</v>
      </c>
      <c r="E258" t="str">
        <f>E241</f>
        <v>PJ/yr.</v>
      </c>
      <c r="F258" s="1">
        <f t="shared" ref="F258:K258" si="146">F247-F269</f>
        <v>0.67474164368364731</v>
      </c>
      <c r="G258" s="1">
        <f t="shared" si="146"/>
        <v>0.72651779616163825</v>
      </c>
      <c r="H258" s="1">
        <f t="shared" si="146"/>
        <v>2.520653020258618E-3</v>
      </c>
      <c r="I258" s="1">
        <f t="shared" si="146"/>
        <v>7.2749641027844154E-4</v>
      </c>
      <c r="J258" s="1">
        <f t="shared" si="146"/>
        <v>9.9264628917678684E-3</v>
      </c>
      <c r="K258" s="1">
        <f t="shared" si="146"/>
        <v>3.0605450840344531E-4</v>
      </c>
    </row>
    <row r="259" spans="1:18" x14ac:dyDescent="0.25">
      <c r="A259" s="5" t="s">
        <v>5</v>
      </c>
      <c r="B259" s="5" t="str">
        <f t="shared" si="138"/>
        <v>SPS3</v>
      </c>
      <c r="C259" s="5" t="s">
        <v>7</v>
      </c>
      <c r="D259" t="s">
        <v>578</v>
      </c>
      <c r="E259" t="str">
        <f>E243</f>
        <v>PJ/yr.</v>
      </c>
      <c r="F259" s="1">
        <f t="shared" ref="F259:K259" si="147">F248-F270</f>
        <v>0</v>
      </c>
      <c r="G259" s="1">
        <f t="shared" si="147"/>
        <v>0</v>
      </c>
      <c r="H259" s="1">
        <f t="shared" si="147"/>
        <v>0</v>
      </c>
      <c r="I259" s="1">
        <f t="shared" si="147"/>
        <v>6.2993699759052147E-5</v>
      </c>
      <c r="J259" s="1">
        <f t="shared" si="147"/>
        <v>1.6174408769908096E-3</v>
      </c>
      <c r="K259" s="1">
        <f t="shared" si="147"/>
        <v>9.9332476849900483E-3</v>
      </c>
    </row>
    <row r="260" spans="1:18" x14ac:dyDescent="0.25">
      <c r="A260" s="5" t="s">
        <v>5</v>
      </c>
      <c r="B260" s="5" t="str">
        <f t="shared" si="138"/>
        <v>SPS3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1.4653482464224725</v>
      </c>
      <c r="G260" s="1">
        <f t="shared" ref="G260:K260" si="148">SUM(G261:G270)</f>
        <v>1.6066009711910259</v>
      </c>
      <c r="H260" s="1">
        <f t="shared" si="148"/>
        <v>1.4934472212637591</v>
      </c>
      <c r="I260" s="1">
        <f t="shared" si="148"/>
        <v>1.3239603374508502</v>
      </c>
      <c r="J260" s="1">
        <f t="shared" si="148"/>
        <v>1.5467820017851057</v>
      </c>
      <c r="K260" s="1">
        <f t="shared" si="148"/>
        <v>2.8390139622372259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tr">
        <f t="shared" si="138"/>
        <v>SPS3</v>
      </c>
      <c r="C261" s="5" t="s">
        <v>7</v>
      </c>
      <c r="D261" t="s">
        <v>630</v>
      </c>
      <c r="E261" t="str">
        <f>E175</f>
        <v>PJ/yr.</v>
      </c>
      <c r="F261" s="1">
        <f t="shared" ref="F261:K270" si="149">F239*IFERROR(F118/F86,0)</f>
        <v>1.9895473602467666E-2</v>
      </c>
      <c r="G261" s="1">
        <f t="shared" si="149"/>
        <v>3.628987421421133E-3</v>
      </c>
      <c r="H261" s="1">
        <f t="shared" si="149"/>
        <v>6.228229031810654E-3</v>
      </c>
      <c r="I261" s="1">
        <f t="shared" si="149"/>
        <v>6.808354159762733E-6</v>
      </c>
      <c r="J261" s="1">
        <f t="shared" si="149"/>
        <v>9.8261969541333554E-4</v>
      </c>
      <c r="K261" s="1">
        <f t="shared" si="149"/>
        <v>6.0658615884504529E-3</v>
      </c>
    </row>
    <row r="262" spans="1:18" x14ac:dyDescent="0.25">
      <c r="A262" s="5" t="s">
        <v>5</v>
      </c>
      <c r="B262" s="5" t="str">
        <f t="shared" si="138"/>
        <v>SPS3</v>
      </c>
      <c r="C262" s="5" t="s">
        <v>7</v>
      </c>
      <c r="D262" t="s">
        <v>631</v>
      </c>
      <c r="E262" t="str">
        <f>E176</f>
        <v>PJ/yr.</v>
      </c>
      <c r="F262" s="1">
        <f t="shared" si="149"/>
        <v>0</v>
      </c>
      <c r="G262" s="1">
        <f t="shared" si="149"/>
        <v>0</v>
      </c>
      <c r="H262" s="1">
        <f t="shared" si="149"/>
        <v>0</v>
      </c>
      <c r="I262" s="1">
        <f t="shared" si="149"/>
        <v>0</v>
      </c>
      <c r="J262" s="1">
        <f t="shared" si="149"/>
        <v>1.3164241622546451E-4</v>
      </c>
      <c r="K262" s="1">
        <f t="shared" si="149"/>
        <v>3.5170237464126654E-3</v>
      </c>
    </row>
    <row r="263" spans="1:18" x14ac:dyDescent="0.25">
      <c r="A263" s="5" t="s">
        <v>5</v>
      </c>
      <c r="B263" s="5" t="str">
        <f t="shared" si="138"/>
        <v>SPS3</v>
      </c>
      <c r="C263" s="5" t="s">
        <v>7</v>
      </c>
      <c r="D263" t="s">
        <v>632</v>
      </c>
      <c r="E263" t="str">
        <f>E177</f>
        <v>PJ/yr.</v>
      </c>
      <c r="F263" s="1">
        <f t="shared" si="149"/>
        <v>0</v>
      </c>
      <c r="G263" s="1">
        <f t="shared" si="149"/>
        <v>0</v>
      </c>
      <c r="H263" s="1">
        <f t="shared" si="149"/>
        <v>0</v>
      </c>
      <c r="I263" s="1">
        <f t="shared" si="149"/>
        <v>6.0444325290166604E-8</v>
      </c>
      <c r="J263" s="1">
        <f t="shared" si="149"/>
        <v>1.1501755384971849E-4</v>
      </c>
      <c r="K263" s="1">
        <f t="shared" si="149"/>
        <v>0.87767138404585154</v>
      </c>
    </row>
    <row r="264" spans="1:18" x14ac:dyDescent="0.25">
      <c r="A264" s="5" t="s">
        <v>5</v>
      </c>
      <c r="B264" s="5" t="str">
        <f t="shared" si="138"/>
        <v>SPS3</v>
      </c>
      <c r="C264" s="5" t="s">
        <v>7</v>
      </c>
      <c r="D264" t="s">
        <v>633</v>
      </c>
      <c r="E264" t="str">
        <f>E203</f>
        <v>PJ/yr.</v>
      </c>
      <c r="F264" s="1">
        <f t="shared" si="149"/>
        <v>1.1009238500129901E-3</v>
      </c>
      <c r="G264" s="1">
        <f t="shared" si="149"/>
        <v>6.5397185124255013E-4</v>
      </c>
      <c r="H264" s="1">
        <f t="shared" si="149"/>
        <v>1.7875187709710226E-3</v>
      </c>
      <c r="I264" s="1">
        <f t="shared" si="149"/>
        <v>1.7061879448887211E-6</v>
      </c>
      <c r="J264" s="1">
        <f t="shared" si="149"/>
        <v>5.7703656133428231E-3</v>
      </c>
      <c r="K264" s="1">
        <f t="shared" si="149"/>
        <v>5.258303082802944E-3</v>
      </c>
    </row>
    <row r="265" spans="1:18" x14ac:dyDescent="0.25">
      <c r="A265" s="5" t="s">
        <v>5</v>
      </c>
      <c r="B265" s="5" t="str">
        <f t="shared" si="138"/>
        <v>SPS3</v>
      </c>
      <c r="C265" s="5" t="s">
        <v>7</v>
      </c>
      <c r="D265" t="s">
        <v>634</v>
      </c>
      <c r="E265" t="str">
        <f>E205</f>
        <v>PJ/yr.</v>
      </c>
      <c r="F265" s="1">
        <f t="shared" si="149"/>
        <v>0</v>
      </c>
      <c r="G265" s="1">
        <f t="shared" si="149"/>
        <v>0</v>
      </c>
      <c r="H265" s="1">
        <f t="shared" si="149"/>
        <v>0</v>
      </c>
      <c r="I265" s="1">
        <f t="shared" si="149"/>
        <v>0</v>
      </c>
      <c r="J265" s="1">
        <f t="shared" si="149"/>
        <v>0</v>
      </c>
      <c r="K265" s="1">
        <f t="shared" si="149"/>
        <v>0</v>
      </c>
    </row>
    <row r="266" spans="1:18" x14ac:dyDescent="0.25">
      <c r="A266" s="5" t="s">
        <v>5</v>
      </c>
      <c r="B266" s="5" t="str">
        <f t="shared" si="138"/>
        <v>SPS3</v>
      </c>
      <c r="C266" s="5" t="s">
        <v>7</v>
      </c>
      <c r="D266" t="s">
        <v>635</v>
      </c>
      <c r="E266" t="str">
        <f>E207</f>
        <v>PJ/yr.</v>
      </c>
      <c r="F266" s="1">
        <f t="shared" si="149"/>
        <v>2.2005467229049328E-3</v>
      </c>
      <c r="G266" s="1">
        <f t="shared" si="149"/>
        <v>1.9798907332192644E-4</v>
      </c>
      <c r="H266" s="1">
        <f t="shared" si="149"/>
        <v>2.1637732237667602E-3</v>
      </c>
      <c r="I266" s="1">
        <f t="shared" si="149"/>
        <v>1.5918497568249481E-6</v>
      </c>
      <c r="J266" s="1">
        <f t="shared" si="149"/>
        <v>0.53159699540116623</v>
      </c>
      <c r="K266" s="1">
        <f t="shared" si="149"/>
        <v>0.93212579894740322</v>
      </c>
    </row>
    <row r="267" spans="1:18" x14ac:dyDescent="0.25">
      <c r="A267" s="5" t="s">
        <v>5</v>
      </c>
      <c r="B267" s="5" t="str">
        <f t="shared" si="138"/>
        <v>SPS3</v>
      </c>
      <c r="C267" s="5" t="s">
        <v>7</v>
      </c>
      <c r="D267" t="s">
        <v>636</v>
      </c>
      <c r="E267" t="str">
        <f>E208</f>
        <v>PJ/yr.</v>
      </c>
      <c r="F267" s="1">
        <f t="shared" si="149"/>
        <v>0</v>
      </c>
      <c r="G267" s="1">
        <f t="shared" si="149"/>
        <v>0</v>
      </c>
      <c r="H267" s="1">
        <f t="shared" si="149"/>
        <v>0</v>
      </c>
      <c r="I267" s="1">
        <f t="shared" si="149"/>
        <v>0</v>
      </c>
      <c r="J267" s="1">
        <f t="shared" si="149"/>
        <v>0</v>
      </c>
      <c r="K267" s="1">
        <f t="shared" si="149"/>
        <v>0</v>
      </c>
    </row>
    <row r="268" spans="1:18" x14ac:dyDescent="0.25">
      <c r="A268" s="5" t="s">
        <v>5</v>
      </c>
      <c r="B268" s="5" t="str">
        <f t="shared" si="138"/>
        <v>SPS3</v>
      </c>
      <c r="C268" s="5" t="s">
        <v>7</v>
      </c>
      <c r="D268" t="s">
        <v>637</v>
      </c>
      <c r="E268" t="str">
        <f>E231</f>
        <v>PJ/yr.</v>
      </c>
      <c r="F268" s="1">
        <f t="shared" si="149"/>
        <v>1.424310563654253</v>
      </c>
      <c r="G268" s="1">
        <f t="shared" si="149"/>
        <v>1.5783618256687013</v>
      </c>
      <c r="H268" s="1">
        <f t="shared" si="149"/>
        <v>1.4829569072472446</v>
      </c>
      <c r="I268" s="1">
        <f t="shared" si="149"/>
        <v>1.3239499675902595</v>
      </c>
      <c r="J268" s="1">
        <f t="shared" si="149"/>
        <v>1.0060952768151468</v>
      </c>
      <c r="K268" s="1">
        <f t="shared" si="149"/>
        <v>1.0060957472263621</v>
      </c>
    </row>
    <row r="269" spans="1:18" x14ac:dyDescent="0.25">
      <c r="A269" s="5" t="s">
        <v>5</v>
      </c>
      <c r="B269" s="5" t="str">
        <f t="shared" si="138"/>
        <v>SPS3</v>
      </c>
      <c r="C269" s="5" t="s">
        <v>7</v>
      </c>
      <c r="D269" t="s">
        <v>638</v>
      </c>
      <c r="E269" t="str">
        <f>E233</f>
        <v>PJ/yr.</v>
      </c>
      <c r="F269" s="1">
        <f t="shared" si="149"/>
        <v>1.7840738592833923E-2</v>
      </c>
      <c r="G269" s="1">
        <f t="shared" si="149"/>
        <v>2.3758197176338904E-2</v>
      </c>
      <c r="H269" s="1">
        <f t="shared" si="149"/>
        <v>3.1079298996595128E-4</v>
      </c>
      <c r="I269" s="1">
        <f t="shared" si="149"/>
        <v>1.8684550661742721E-7</v>
      </c>
      <c r="J269" s="1">
        <f t="shared" si="149"/>
        <v>1.7972381406294717E-3</v>
      </c>
      <c r="K269" s="1">
        <f t="shared" si="149"/>
        <v>2.4748595312218191E-4</v>
      </c>
    </row>
    <row r="270" spans="1:18" x14ac:dyDescent="0.25">
      <c r="A270" s="5" t="s">
        <v>5</v>
      </c>
      <c r="B270" s="5" t="str">
        <f t="shared" si="138"/>
        <v>SPS3</v>
      </c>
      <c r="C270" s="5" t="s">
        <v>7</v>
      </c>
      <c r="D270" t="s">
        <v>639</v>
      </c>
      <c r="E270" t="str">
        <f>E237</f>
        <v>PJ/yr.</v>
      </c>
      <c r="F270" s="1">
        <f t="shared" si="149"/>
        <v>0</v>
      </c>
      <c r="G270" s="1">
        <f t="shared" si="149"/>
        <v>0</v>
      </c>
      <c r="H270" s="1">
        <f t="shared" si="149"/>
        <v>0</v>
      </c>
      <c r="I270" s="1">
        <f t="shared" si="149"/>
        <v>1.6178897351096651E-8</v>
      </c>
      <c r="J270" s="1">
        <f t="shared" si="149"/>
        <v>2.928461493319854E-4</v>
      </c>
      <c r="K270" s="1">
        <f t="shared" si="149"/>
        <v>8.0323576468210433E-3</v>
      </c>
    </row>
    <row r="271" spans="1:18" x14ac:dyDescent="0.25">
      <c r="A271" s="5" t="s">
        <v>5</v>
      </c>
      <c r="B271" s="5" t="str">
        <f t="shared" si="138"/>
        <v>SPS3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1.9347975180490224</v>
      </c>
      <c r="G271" s="1">
        <f t="shared" ref="G271:K271" si="150">SUM(G272:G273)</f>
        <v>1.8296083924308704</v>
      </c>
      <c r="H271" s="1">
        <f t="shared" si="150"/>
        <v>2.5502949864161573</v>
      </c>
      <c r="I271" s="1">
        <f t="shared" si="150"/>
        <v>2.3158643077623582</v>
      </c>
      <c r="J271" s="1">
        <f t="shared" si="150"/>
        <v>1.6251790156340713</v>
      </c>
      <c r="K271" s="1">
        <f t="shared" si="150"/>
        <v>2.0111521166069699</v>
      </c>
    </row>
    <row r="272" spans="1:18" x14ac:dyDescent="0.25">
      <c r="A272" s="5" t="s">
        <v>5</v>
      </c>
      <c r="B272" s="5" t="str">
        <f t="shared" si="138"/>
        <v>SPS3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1.9347975180490224</v>
      </c>
      <c r="G272" s="1">
        <f>'[1]Electricity and CHPs'!C$106-G273</f>
        <v>1.8296083924308704</v>
      </c>
      <c r="H272" s="1">
        <f>'[1]Electricity and CHPs'!D$106-H273</f>
        <v>2.5502949864161573</v>
      </c>
      <c r="I272" s="1">
        <f>'[1]Electricity and CHPs'!E$106-I273</f>
        <v>2.3158643077623582</v>
      </c>
      <c r="J272" s="1">
        <f>'[1]Electricity and CHPs'!F$106-J273</f>
        <v>1.3207484412296755</v>
      </c>
      <c r="K272" s="1">
        <f>'[1]Electricity and CHPs'!G$106-K273</f>
        <v>4.0634928731630993E-4</v>
      </c>
    </row>
    <row r="273" spans="1:11" x14ac:dyDescent="0.25">
      <c r="A273" s="5" t="s">
        <v>5</v>
      </c>
      <c r="B273" s="5" t="str">
        <f t="shared" si="138"/>
        <v>SPS3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0.30443057440439586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2.0107457673196536</v>
      </c>
    </row>
    <row r="274" spans="1:11" x14ac:dyDescent="0.25">
      <c r="A274" s="5" t="s">
        <v>5</v>
      </c>
      <c r="B274" s="5" t="str">
        <f t="shared" si="138"/>
        <v>SPS3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51">SUM(G275:G276)</f>
        <v>0</v>
      </c>
      <c r="H274" s="10">
        <f t="shared" si="151"/>
        <v>0</v>
      </c>
      <c r="I274" s="10">
        <f t="shared" si="151"/>
        <v>0</v>
      </c>
      <c r="J274" s="10">
        <f t="shared" si="151"/>
        <v>0</v>
      </c>
      <c r="K274" s="10">
        <f t="shared" si="151"/>
        <v>0</v>
      </c>
    </row>
    <row r="275" spans="1:11" x14ac:dyDescent="0.25">
      <c r="A275" s="5" t="s">
        <v>5</v>
      </c>
      <c r="B275" s="5" t="str">
        <f t="shared" si="138"/>
        <v>SPS3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tr">
        <f t="shared" si="138"/>
        <v>SPS3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tr">
        <f t="shared" si="138"/>
        <v>SPS3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1.9347975180490224</v>
      </c>
      <c r="G277" s="1">
        <f t="shared" ref="G277:K277" si="152">SUM(G278:G279)</f>
        <v>1.8296083924308704</v>
      </c>
      <c r="H277" s="1">
        <f t="shared" si="152"/>
        <v>2.5502949864161573</v>
      </c>
      <c r="I277" s="1">
        <f t="shared" si="152"/>
        <v>2.3158643077623582</v>
      </c>
      <c r="J277" s="1">
        <f t="shared" si="152"/>
        <v>1.6251790156340713</v>
      </c>
      <c r="K277" s="1">
        <f t="shared" si="152"/>
        <v>2.0111521166069699</v>
      </c>
    </row>
    <row r="278" spans="1:11" x14ac:dyDescent="0.25">
      <c r="A278" s="5" t="s">
        <v>5</v>
      </c>
      <c r="B278" s="5" t="str">
        <f t="shared" si="138"/>
        <v>SPS3</v>
      </c>
      <c r="C278" s="5" t="s">
        <v>7</v>
      </c>
      <c r="D278" t="s">
        <v>183</v>
      </c>
      <c r="E278" t="str">
        <f>E183</f>
        <v>PJ/yr.</v>
      </c>
      <c r="F278" s="1">
        <f>F272</f>
        <v>1.9347975180490224</v>
      </c>
      <c r="G278" s="1">
        <f t="shared" ref="G278:K278" si="153">G272</f>
        <v>1.8296083924308704</v>
      </c>
      <c r="H278" s="1">
        <f t="shared" si="153"/>
        <v>2.5502949864161573</v>
      </c>
      <c r="I278" s="1">
        <f t="shared" si="153"/>
        <v>2.3158643077623582</v>
      </c>
      <c r="J278" s="1">
        <f t="shared" si="153"/>
        <v>1.3207484412296755</v>
      </c>
      <c r="K278" s="1">
        <f t="shared" si="153"/>
        <v>4.0634928731630993E-4</v>
      </c>
    </row>
    <row r="279" spans="1:11" x14ac:dyDescent="0.25">
      <c r="A279" s="5" t="s">
        <v>5</v>
      </c>
      <c r="B279" s="5" t="str">
        <f t="shared" si="138"/>
        <v>SPS3</v>
      </c>
      <c r="C279" s="5" t="s">
        <v>7</v>
      </c>
      <c r="D279" t="s">
        <v>184</v>
      </c>
      <c r="E279" t="str">
        <f>E185</f>
        <v>PJ/yr.</v>
      </c>
      <c r="F279" s="1">
        <f t="shared" ref="F279:K279" si="154">F273</f>
        <v>0</v>
      </c>
      <c r="G279" s="1">
        <f t="shared" si="154"/>
        <v>0</v>
      </c>
      <c r="H279" s="1">
        <f t="shared" si="154"/>
        <v>0</v>
      </c>
      <c r="I279" s="1">
        <f t="shared" si="154"/>
        <v>0</v>
      </c>
      <c r="J279" s="1">
        <f t="shared" si="154"/>
        <v>0.30443057440439586</v>
      </c>
      <c r="K279" s="1">
        <f t="shared" si="154"/>
        <v>2.0107457673196536</v>
      </c>
    </row>
    <row r="280" spans="1:11" x14ac:dyDescent="0.25">
      <c r="A280" s="5" t="s">
        <v>5</v>
      </c>
      <c r="B280" s="5" t="str">
        <f t="shared" si="138"/>
        <v>SPS3</v>
      </c>
      <c r="C280" s="5" t="s">
        <v>7</v>
      </c>
      <c r="D280" t="s">
        <v>844</v>
      </c>
      <c r="E280" t="str">
        <f>E186</f>
        <v>PJ/yr.</v>
      </c>
      <c r="F280" s="1">
        <f>SUM(F281:F285)</f>
        <v>0.66027743470565992</v>
      </c>
      <c r="G280" s="1">
        <f t="shared" ref="G280:K280" si="155">SUM(G281:G285)</f>
        <v>1.8169231472861374</v>
      </c>
      <c r="H280" s="1">
        <f t="shared" si="155"/>
        <v>3.3657561449612063</v>
      </c>
      <c r="I280" s="1">
        <f t="shared" si="155"/>
        <v>3.1909498735034272</v>
      </c>
      <c r="J280" s="1">
        <f t="shared" si="155"/>
        <v>5.4069478153470865</v>
      </c>
      <c r="K280" s="1">
        <f t="shared" si="155"/>
        <v>7.2489616038438527</v>
      </c>
    </row>
    <row r="281" spans="1:11" x14ac:dyDescent="0.25">
      <c r="A281" s="5" t="s">
        <v>5</v>
      </c>
      <c r="B281" s="5" t="str">
        <f t="shared" si="138"/>
        <v>SPS3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0.6599255756172705</v>
      </c>
      <c r="G281" s="1">
        <f>'[1]Electricity and CHPs'!C$105-G282</f>
        <v>1.8165324169745556</v>
      </c>
      <c r="H281" s="1">
        <f>'[1]Electricity and CHPs'!D$105-H282</f>
        <v>3.3655790733042559</v>
      </c>
      <c r="I281" s="1">
        <f>'[1]Electricity and CHPs'!E$105-I282</f>
        <v>3.1669965879166737</v>
      </c>
      <c r="J281" s="1">
        <f>'[1]Electricity and CHPs'!F$105-J282</f>
        <v>4.0485814561146025</v>
      </c>
      <c r="K281" s="1">
        <f>'[1]Electricity and CHPs'!G$105-K282</f>
        <v>0.83495251166097173</v>
      </c>
    </row>
    <row r="282" spans="1:11" x14ac:dyDescent="0.25">
      <c r="A282" s="5" t="s">
        <v>5</v>
      </c>
      <c r="B282" s="5" t="str">
        <f t="shared" si="138"/>
        <v>SPS3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1.3265961006526727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6.4001188067638974</v>
      </c>
    </row>
    <row r="283" spans="1:11" x14ac:dyDescent="0.25">
      <c r="A283" s="5" t="s">
        <v>5</v>
      </c>
      <c r="B283" s="5" t="str">
        <f t="shared" si="138"/>
        <v>SPS3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1.577747175371807E-4</v>
      </c>
      <c r="G283" s="1">
        <f>'[1]Electricity and CHPs'!C$110</f>
        <v>1.8544190756208348E-4</v>
      </c>
      <c r="H283" s="1">
        <f>'[1]Electricity and CHPs'!D$110</f>
        <v>8.8210566021225005E-5</v>
      </c>
      <c r="I283" s="1">
        <f>'[1]Electricity and CHPs'!E$110</f>
        <v>5.8910254092106422E-3</v>
      </c>
      <c r="J283" s="1">
        <f>'[1]Electricity and CHPs'!F$110</f>
        <v>1.1169718332381912E-2</v>
      </c>
      <c r="K283" s="1">
        <f>'[1]Electricity and CHPs'!G$110</f>
        <v>5.0577742463551898E-3</v>
      </c>
    </row>
    <row r="284" spans="1:11" x14ac:dyDescent="0.25">
      <c r="A284" s="5" t="s">
        <v>5</v>
      </c>
      <c r="B284" s="5" t="str">
        <f t="shared" si="138"/>
        <v>SPS3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1.9408437085216936E-4</v>
      </c>
      <c r="G284" s="1">
        <f>'[1]Electricity and CHPs'!C$113</f>
        <v>2.0528840401982603E-4</v>
      </c>
      <c r="H284" s="1">
        <f>'[1]Electricity and CHPs'!D$113</f>
        <v>8.8861090929004508E-5</v>
      </c>
      <c r="I284" s="1">
        <f>'[1]Electricity and CHPs'!E$113</f>
        <v>1.718433994189247E-2</v>
      </c>
      <c r="J284" s="1">
        <f>'[1]Electricity and CHPs'!F$113</f>
        <v>1.8883202229792877E-2</v>
      </c>
      <c r="K284" s="1">
        <f>'[1]Electricity and CHPs'!G$113</f>
        <v>8.2647368235654953E-3</v>
      </c>
    </row>
    <row r="285" spans="1:11" x14ac:dyDescent="0.25">
      <c r="A285" s="5" t="s">
        <v>5</v>
      </c>
      <c r="B285" s="5" t="str">
        <f t="shared" si="138"/>
        <v>SPS3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8.7792023565043398E-4</v>
      </c>
      <c r="J285" s="1">
        <f>'[1]Electricity and CHPs'!F$117</f>
        <v>1.7173380176368274E-3</v>
      </c>
      <c r="K285" s="1">
        <f>'[1]Electricity and CHPs'!G$117</f>
        <v>5.6777434906293194E-4</v>
      </c>
    </row>
    <row r="286" spans="1:11" x14ac:dyDescent="0.25">
      <c r="A286" s="5" t="s">
        <v>5</v>
      </c>
      <c r="B286" s="5" t="str">
        <f t="shared" si="138"/>
        <v>SPS3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56">SUM(G287:G288)</f>
        <v>0</v>
      </c>
      <c r="H286" s="1">
        <f t="shared" si="156"/>
        <v>0</v>
      </c>
      <c r="I286" s="1">
        <f t="shared" si="156"/>
        <v>1.4381932005235081</v>
      </c>
      <c r="J286" s="1">
        <f t="shared" si="156"/>
        <v>5.7124420821933843E-2</v>
      </c>
      <c r="K286" s="1">
        <f t="shared" si="156"/>
        <v>1.9781164179087576</v>
      </c>
    </row>
    <row r="287" spans="1:11" x14ac:dyDescent="0.25">
      <c r="A287" s="5" t="s">
        <v>5</v>
      </c>
      <c r="B287" s="5" t="str">
        <f t="shared" si="138"/>
        <v>SPS3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1.4372080460968601</v>
      </c>
      <c r="J287" s="1">
        <f>'[1]Electricity and CHPs'!F$108</f>
        <v>5.6561713776386767E-2</v>
      </c>
      <c r="K287" s="1">
        <f>'[1]Electricity and CHPs'!G$108</f>
        <v>1.9775004587590648</v>
      </c>
    </row>
    <row r="288" spans="1:11" x14ac:dyDescent="0.25">
      <c r="A288" s="5" t="s">
        <v>5</v>
      </c>
      <c r="B288" s="5" t="str">
        <f t="shared" si="138"/>
        <v>SPS3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9.8515442664794703E-4</v>
      </c>
      <c r="J288" s="1">
        <f>'[1]Electricity and CHPs'!F$119</f>
        <v>5.6270704554707768E-4</v>
      </c>
      <c r="K288" s="1">
        <f>'[1]Electricity and CHPs'!G$119</f>
        <v>6.1595914969277056E-4</v>
      </c>
    </row>
    <row r="289" spans="1:13" x14ac:dyDescent="0.25">
      <c r="A289" s="5" t="s">
        <v>5</v>
      </c>
      <c r="B289" s="9" t="str">
        <f t="shared" si="138"/>
        <v>SPS3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437.64514376471851</v>
      </c>
      <c r="G289" s="3">
        <f t="shared" ref="G289" si="157">SUM(G290,G292,G300,G308,G356,G377,G385,G387,G395,G399,G393)</f>
        <v>419.6369127573987</v>
      </c>
      <c r="H289" s="3">
        <f t="shared" ref="H289" si="158">SUM(H290,H292,H300,H308,H356,H377,H385,H387,H395,H399,H393)</f>
        <v>468.93467063276802</v>
      </c>
      <c r="I289" s="3">
        <f t="shared" ref="I289" si="159">SUM(I290,I292,I300,I308,I356,I377,I385,I387,I395,I399,I393)</f>
        <v>495.02992393060669</v>
      </c>
      <c r="J289" s="3">
        <f t="shared" ref="J289" si="160">SUM(J290,J292,J300,J308,J356,J377,J385,J387,J395,J399,J393)</f>
        <v>367.53821181411985</v>
      </c>
      <c r="K289" s="3">
        <f t="shared" ref="K289" si="161">SUM(K290,K292,K300,K308,K356,K377,K385,K387,K395,K399,K393)</f>
        <v>307.82943298468206</v>
      </c>
    </row>
    <row r="290" spans="1:13" x14ac:dyDescent="0.25">
      <c r="A290" s="5" t="s">
        <v>5</v>
      </c>
      <c r="B290" s="5" t="str">
        <f t="shared" si="138"/>
        <v>SPS3</v>
      </c>
      <c r="C290" s="5" t="s">
        <v>7</v>
      </c>
      <c r="D290" t="s">
        <v>846</v>
      </c>
      <c r="E290" t="str">
        <f>E288</f>
        <v>PJ/yr.</v>
      </c>
      <c r="F290" s="1">
        <f>F291</f>
        <v>250.94817863315785</v>
      </c>
      <c r="G290" s="1">
        <f t="shared" ref="G290:K290" si="162">G291</f>
        <v>253.29947829311311</v>
      </c>
      <c r="H290" s="1">
        <f t="shared" si="162"/>
        <v>215.81740613283444</v>
      </c>
      <c r="I290" s="1">
        <f t="shared" si="162"/>
        <v>209.64530306304485</v>
      </c>
      <c r="J290" s="1">
        <f t="shared" si="162"/>
        <v>98.945480203274769</v>
      </c>
      <c r="K290" s="1">
        <f t="shared" si="162"/>
        <v>0</v>
      </c>
    </row>
    <row r="291" spans="1:13" x14ac:dyDescent="0.25">
      <c r="A291" s="5" t="s">
        <v>5</v>
      </c>
      <c r="B291" s="5" t="str">
        <f t="shared" si="138"/>
        <v>SPS3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250.94817863315785</v>
      </c>
      <c r="G291" s="1">
        <f>'[1]Electricity and CHPs_IN'!C$14</f>
        <v>253.29947829311311</v>
      </c>
      <c r="H291" s="1">
        <f>'[1]Electricity and CHPs_IN'!D$14</f>
        <v>215.81740613283444</v>
      </c>
      <c r="I291" s="1">
        <f>'[1]Electricity and CHPs_IN'!E$14</f>
        <v>209.64530306304485</v>
      </c>
      <c r="J291" s="1">
        <f>'[1]Electricity and CHPs_IN'!F$14</f>
        <v>98.945480203274769</v>
      </c>
      <c r="K291" s="1">
        <f>'[1]Electricity and CHPs_IN'!G$14</f>
        <v>0</v>
      </c>
    </row>
    <row r="292" spans="1:13" x14ac:dyDescent="0.25">
      <c r="A292" s="5" t="s">
        <v>5</v>
      </c>
      <c r="B292" s="5" t="str">
        <f t="shared" si="138"/>
        <v>SPS3</v>
      </c>
      <c r="C292" s="5" t="s">
        <v>7</v>
      </c>
      <c r="D292" t="s">
        <v>847</v>
      </c>
      <c r="E292" t="str">
        <f t="shared" ref="E292:E355" si="163">E291</f>
        <v>PJ/yr.</v>
      </c>
      <c r="F292" s="1">
        <f>SUM(F293:F295)</f>
        <v>149.43048596362641</v>
      </c>
      <c r="G292" s="1">
        <f t="shared" ref="G292:K292" si="164">SUM(G293:G295)</f>
        <v>125.60677798439556</v>
      </c>
      <c r="H292" s="1">
        <f t="shared" si="164"/>
        <v>195.98077643945675</v>
      </c>
      <c r="I292" s="1">
        <f t="shared" si="164"/>
        <v>189.10744200754817</v>
      </c>
      <c r="J292" s="1">
        <f t="shared" si="164"/>
        <v>150.98626883252561</v>
      </c>
      <c r="K292" s="1">
        <f t="shared" si="164"/>
        <v>151.7909733465348</v>
      </c>
    </row>
    <row r="293" spans="1:13" x14ac:dyDescent="0.25">
      <c r="A293" s="5" t="s">
        <v>5</v>
      </c>
      <c r="B293" s="5" t="str">
        <f t="shared" si="138"/>
        <v>SPS3</v>
      </c>
      <c r="C293" s="5" t="s">
        <v>7</v>
      </c>
      <c r="D293" t="s">
        <v>93</v>
      </c>
      <c r="E293" t="str">
        <f t="shared" si="163"/>
        <v>PJ/yr.</v>
      </c>
      <c r="F293" s="1">
        <f>'[1]Electricity and CHPs_IN'!B$15</f>
        <v>66.745680037910205</v>
      </c>
      <c r="G293" s="1">
        <f>'[1]Electricity and CHPs_IN'!C$15</f>
        <v>49.798798199551555</v>
      </c>
      <c r="H293" s="1">
        <f>'[1]Electricity and CHPs_IN'!D$15</f>
        <v>68.534871720406599</v>
      </c>
      <c r="I293" s="1">
        <f>'[1]Electricity and CHPs_IN'!E$15</f>
        <v>70.207444882694688</v>
      </c>
      <c r="J293" s="1">
        <f>'[1]Electricity and CHPs_IN'!F$15</f>
        <v>72.378790765899794</v>
      </c>
      <c r="K293" s="1">
        <f>'[1]Electricity and CHPs_IN'!G$15</f>
        <v>74.335877429190887</v>
      </c>
    </row>
    <row r="294" spans="1:13" x14ac:dyDescent="0.25">
      <c r="A294" s="5" t="s">
        <v>5</v>
      </c>
      <c r="B294" s="5" t="str">
        <f t="shared" si="138"/>
        <v>SPS3</v>
      </c>
      <c r="C294" s="5" t="s">
        <v>7</v>
      </c>
      <c r="D294" t="s">
        <v>94</v>
      </c>
      <c r="E294" t="str">
        <f t="shared" si="163"/>
        <v>PJ/yr.</v>
      </c>
      <c r="F294" s="1">
        <f>'[1]Electricity and CHPs_IN'!B$16</f>
        <v>66.632402450035997</v>
      </c>
      <c r="G294" s="1">
        <f>'[1]Electricity and CHPs_IN'!C$16</f>
        <v>55.764000771154585</v>
      </c>
      <c r="H294" s="1">
        <f>'[1]Electricity and CHPs_IN'!D$16</f>
        <v>65.550470630124664</v>
      </c>
      <c r="I294" s="1">
        <f>'[1]Electricity and CHPs_IN'!E$16</f>
        <v>64.491829575698375</v>
      </c>
      <c r="J294" s="1">
        <f>'[1]Electricity and CHPs_IN'!F$16</f>
        <v>62.323588762492044</v>
      </c>
      <c r="K294" s="1">
        <f>'[1]Electricity and CHPs_IN'!G$16</f>
        <v>60.977329968934797</v>
      </c>
    </row>
    <row r="295" spans="1:13" x14ac:dyDescent="0.25">
      <c r="A295" s="5" t="s">
        <v>5</v>
      </c>
      <c r="B295" s="5" t="str">
        <f t="shared" si="138"/>
        <v>SPS3</v>
      </c>
      <c r="C295" s="5" t="s">
        <v>7</v>
      </c>
      <c r="D295" t="s">
        <v>95</v>
      </c>
      <c r="E295" t="str">
        <f t="shared" si="163"/>
        <v>PJ/yr.</v>
      </c>
      <c r="F295" s="1">
        <f>'[1]Electricity and CHPs_IN'!B$13</f>
        <v>16.052403475680226</v>
      </c>
      <c r="G295" s="1">
        <f>'[1]Electricity and CHPs_IN'!C$13</f>
        <v>20.04397901368942</v>
      </c>
      <c r="H295" s="1">
        <f>'[1]Electricity and CHPs_IN'!D$13</f>
        <v>61.895434088925462</v>
      </c>
      <c r="I295" s="1">
        <f>'[1]Electricity and CHPs_IN'!E$13</f>
        <v>54.408167549155124</v>
      </c>
      <c r="J295" s="1">
        <f>'[1]Electricity and CHPs_IN'!F$13</f>
        <v>16.283889304133776</v>
      </c>
      <c r="K295" s="1">
        <f>'[1]Electricity and CHPs_IN'!G$13</f>
        <v>16.477765948409125</v>
      </c>
    </row>
    <row r="296" spans="1:13" x14ac:dyDescent="0.25">
      <c r="A296" s="5" t="s">
        <v>5</v>
      </c>
      <c r="B296" s="5" t="str">
        <f t="shared" si="138"/>
        <v>SPS3</v>
      </c>
      <c r="C296" s="5" t="s">
        <v>7</v>
      </c>
      <c r="D296" t="s">
        <v>848</v>
      </c>
      <c r="E296" t="str">
        <f t="shared" si="163"/>
        <v>PJ/yr.</v>
      </c>
      <c r="F296" s="1">
        <f>SUM(F297:F299)</f>
        <v>0.14757863401878957</v>
      </c>
      <c r="G296" s="1">
        <f t="shared" ref="G296:K296" si="165">SUM(G297:G299)</f>
        <v>5.4679902429514642E-2</v>
      </c>
      <c r="H296" s="1">
        <f t="shared" si="165"/>
        <v>1.2991689856106246E-2</v>
      </c>
      <c r="I296" s="1">
        <f t="shared" si="165"/>
        <v>7.6391812959103425E-2</v>
      </c>
      <c r="J296" s="1">
        <f t="shared" si="165"/>
        <v>9.9888408739966846E-3</v>
      </c>
      <c r="K296" s="1">
        <f t="shared" si="165"/>
        <v>9.7202811296610431E-3</v>
      </c>
    </row>
    <row r="297" spans="1:13" x14ac:dyDescent="0.25">
      <c r="A297" s="5" t="s">
        <v>5</v>
      </c>
      <c r="B297" s="5" t="str">
        <f t="shared" si="138"/>
        <v>SPS3</v>
      </c>
      <c r="C297" s="5" t="s">
        <v>7</v>
      </c>
      <c r="D297" t="s">
        <v>96</v>
      </c>
      <c r="E297" t="str">
        <f t="shared" si="163"/>
        <v>PJ/yr.</v>
      </c>
      <c r="F297" s="1">
        <f>'[1]Electricity and CHPs_IN'!B$18</f>
        <v>0.12273184528994588</v>
      </c>
      <c r="G297" s="1">
        <f>'[1]Electricity and CHPs_IN'!C$18</f>
        <v>1.3007960155730846E-3</v>
      </c>
      <c r="H297" s="1">
        <f>'[1]Electricity and CHPs_IN'!D$18</f>
        <v>9.8476835067266445E-3</v>
      </c>
      <c r="I297" s="1">
        <f>'[1]Electricity and CHPs_IN'!E$18</f>
        <v>1.2864572440174291E-3</v>
      </c>
      <c r="J297" s="1">
        <f>'[1]Electricity and CHPs_IN'!F$18</f>
        <v>6.0487980335871367E-3</v>
      </c>
      <c r="K297" s="1">
        <f>'[1]Electricity and CHPs_IN'!G$18</f>
        <v>5.592752301332668E-5</v>
      </c>
    </row>
    <row r="298" spans="1:13" x14ac:dyDescent="0.25">
      <c r="A298" s="5" t="s">
        <v>5</v>
      </c>
      <c r="B298" s="5" t="str">
        <f t="shared" si="138"/>
        <v>SPS3</v>
      </c>
      <c r="C298" s="5" t="s">
        <v>7</v>
      </c>
      <c r="D298" t="s">
        <v>230</v>
      </c>
      <c r="E298" t="str">
        <f t="shared" si="163"/>
        <v>PJ/yr.</v>
      </c>
      <c r="F298" s="1">
        <f>IFERROR(F70/SUM(F70,F183),0)*'[1]Electricity and CHPs_IN'!B$28</f>
        <v>3.8756287030296925E-3</v>
      </c>
      <c r="G298" s="1">
        <f>IFERROR(G70/SUM(G70,G183),0)*'[1]Electricity and CHPs_IN'!C$28</f>
        <v>3.0307384278727742E-4</v>
      </c>
      <c r="H298" s="1">
        <f>IFERROR(H70/SUM(H70,H183),0)*'[1]Electricity and CHPs_IN'!D$28</f>
        <v>1.8666387486775513E-3</v>
      </c>
      <c r="I298" s="1">
        <f>IFERROR(I70/SUM(I70,I183),0)*'[1]Electricity and CHPs_IN'!E$28</f>
        <v>4.2812477709053872E-4</v>
      </c>
      <c r="J298" s="1">
        <f>IFERROR(J70/SUM(J70,J183),0)*'[1]Electricity and CHPs_IN'!F$28</f>
        <v>1.0843014616727788E-3</v>
      </c>
      <c r="K298" s="1">
        <f>IFERROR(K70/SUM(K70,K183),0)*'[1]Electricity and CHPs_IN'!G$28</f>
        <v>4.3817869854755444E-6</v>
      </c>
      <c r="M298" s="1"/>
    </row>
    <row r="299" spans="1:13" x14ac:dyDescent="0.25">
      <c r="A299" s="5" t="s">
        <v>5</v>
      </c>
      <c r="B299" s="5" t="str">
        <f t="shared" si="138"/>
        <v>SPS3</v>
      </c>
      <c r="C299" s="5" t="s">
        <v>7</v>
      </c>
      <c r="D299" t="s">
        <v>97</v>
      </c>
      <c r="E299" t="str">
        <f t="shared" si="163"/>
        <v>PJ/yr.</v>
      </c>
      <c r="F299" s="1">
        <f>IFERROR(F71/SUM(F71,F233),0)*'[1]Electricity and CHPs_IN'!B$41</f>
        <v>2.0971160025814006E-2</v>
      </c>
      <c r="G299" s="1">
        <f>IFERROR(G71/SUM(G71,G233),0)*'[1]Electricity and CHPs_IN'!C$41</f>
        <v>5.3076032571154279E-2</v>
      </c>
      <c r="H299" s="1">
        <f>IFERROR(H71/SUM(H71,H233),0)*'[1]Electricity and CHPs_IN'!D$41</f>
        <v>1.2773676007020512E-3</v>
      </c>
      <c r="I299" s="1">
        <f>IFERROR(I71/SUM(I71,I233),0)*'[1]Electricity and CHPs_IN'!E$41</f>
        <v>7.4677230937995456E-2</v>
      </c>
      <c r="J299" s="1">
        <f>IFERROR(J71/SUM(J71,J233),0)*'[1]Electricity and CHPs_IN'!F$41</f>
        <v>2.8557413787367691E-3</v>
      </c>
      <c r="K299" s="1">
        <f>IFERROR(K71/SUM(K71,K233),0)*'[1]Electricity and CHPs_IN'!G$41</f>
        <v>9.6599718196622407E-3</v>
      </c>
    </row>
    <row r="300" spans="1:13" x14ac:dyDescent="0.25">
      <c r="A300" s="5" t="s">
        <v>5</v>
      </c>
      <c r="B300" s="5" t="str">
        <f t="shared" si="138"/>
        <v>SPS3</v>
      </c>
      <c r="C300" s="5" t="s">
        <v>7</v>
      </c>
      <c r="D300" t="s">
        <v>849</v>
      </c>
      <c r="E300" t="str">
        <f t="shared" si="163"/>
        <v>PJ/yr.</v>
      </c>
      <c r="F300" s="1">
        <f>F296</f>
        <v>0.14757863401878957</v>
      </c>
      <c r="G300" s="1">
        <f t="shared" ref="G300:K300" si="166">G296</f>
        <v>5.4679902429514642E-2</v>
      </c>
      <c r="H300" s="1">
        <f t="shared" si="166"/>
        <v>1.2991689856106246E-2</v>
      </c>
      <c r="I300" s="1">
        <f t="shared" si="166"/>
        <v>7.6391812959103425E-2</v>
      </c>
      <c r="J300" s="1">
        <f t="shared" si="166"/>
        <v>9.9888408739966846E-3</v>
      </c>
      <c r="K300" s="1">
        <f t="shared" si="166"/>
        <v>9.7202811296610431E-3</v>
      </c>
    </row>
    <row r="301" spans="1:13" x14ac:dyDescent="0.25">
      <c r="A301" s="5" t="s">
        <v>5</v>
      </c>
      <c r="B301" s="5" t="str">
        <f t="shared" si="138"/>
        <v>SPS3</v>
      </c>
      <c r="C301" s="5" t="s">
        <v>7</v>
      </c>
      <c r="D301" t="s">
        <v>520</v>
      </c>
      <c r="E301" t="str">
        <f t="shared" si="163"/>
        <v>PJ/yr.</v>
      </c>
      <c r="F301" s="1">
        <f t="shared" ref="F301:K301" si="167">F297</f>
        <v>0.12273184528994588</v>
      </c>
      <c r="G301" s="1">
        <f t="shared" si="167"/>
        <v>1.3007960155730846E-3</v>
      </c>
      <c r="H301" s="1">
        <f t="shared" si="167"/>
        <v>9.8476835067266445E-3</v>
      </c>
      <c r="I301" s="1">
        <f t="shared" si="167"/>
        <v>1.2864572440174291E-3</v>
      </c>
      <c r="J301" s="1">
        <f t="shared" si="167"/>
        <v>6.0487980335871367E-3</v>
      </c>
      <c r="K301" s="1">
        <f t="shared" si="167"/>
        <v>5.592752301332668E-5</v>
      </c>
    </row>
    <row r="302" spans="1:13" x14ac:dyDescent="0.25">
      <c r="A302" s="5" t="s">
        <v>5</v>
      </c>
      <c r="B302" s="5" t="str">
        <f t="shared" si="138"/>
        <v>SPS3</v>
      </c>
      <c r="C302" s="5" t="s">
        <v>7</v>
      </c>
      <c r="D302" t="s">
        <v>521</v>
      </c>
      <c r="E302" t="str">
        <f t="shared" si="163"/>
        <v>PJ/yr.</v>
      </c>
      <c r="F302" s="1">
        <f t="shared" ref="F302:K302" si="168">F298</f>
        <v>3.8756287030296925E-3</v>
      </c>
      <c r="G302" s="1">
        <f t="shared" si="168"/>
        <v>3.0307384278727742E-4</v>
      </c>
      <c r="H302" s="1">
        <f t="shared" si="168"/>
        <v>1.8666387486775513E-3</v>
      </c>
      <c r="I302" s="1">
        <f t="shared" si="168"/>
        <v>4.2812477709053872E-4</v>
      </c>
      <c r="J302" s="1">
        <f t="shared" si="168"/>
        <v>1.0843014616727788E-3</v>
      </c>
      <c r="K302" s="1">
        <f t="shared" si="168"/>
        <v>4.3817869854755444E-6</v>
      </c>
    </row>
    <row r="303" spans="1:13" x14ac:dyDescent="0.25">
      <c r="A303" s="5" t="s">
        <v>5</v>
      </c>
      <c r="B303" s="5" t="str">
        <f t="shared" si="138"/>
        <v>SPS3</v>
      </c>
      <c r="C303" s="5" t="s">
        <v>7</v>
      </c>
      <c r="D303" t="s">
        <v>522</v>
      </c>
      <c r="E303" t="str">
        <f t="shared" si="163"/>
        <v>PJ/yr.</v>
      </c>
      <c r="F303" s="1">
        <f t="shared" ref="F303:K303" si="169">F299</f>
        <v>2.0971160025814006E-2</v>
      </c>
      <c r="G303" s="1">
        <f t="shared" si="169"/>
        <v>5.3076032571154279E-2</v>
      </c>
      <c r="H303" s="1">
        <f t="shared" si="169"/>
        <v>1.2773676007020512E-3</v>
      </c>
      <c r="I303" s="1">
        <f t="shared" si="169"/>
        <v>7.4677230937995456E-2</v>
      </c>
      <c r="J303" s="1">
        <f t="shared" si="169"/>
        <v>2.8557413787367691E-3</v>
      </c>
      <c r="K303" s="1">
        <f t="shared" si="169"/>
        <v>9.6599718196622407E-3</v>
      </c>
    </row>
    <row r="304" spans="1:13" x14ac:dyDescent="0.25">
      <c r="A304" s="5" t="s">
        <v>5</v>
      </c>
      <c r="B304" s="5" t="str">
        <f t="shared" si="138"/>
        <v>SPS3</v>
      </c>
      <c r="C304" s="5" t="s">
        <v>7</v>
      </c>
      <c r="D304" t="s">
        <v>850</v>
      </c>
      <c r="E304" t="str">
        <f t="shared" si="163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tr">
        <f t="shared" si="138"/>
        <v>SPS3</v>
      </c>
      <c r="C305" s="5" t="s">
        <v>7</v>
      </c>
      <c r="D305" t="s">
        <v>544</v>
      </c>
      <c r="E305" t="str">
        <f t="shared" si="163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tr">
        <f t="shared" si="138"/>
        <v>SPS3</v>
      </c>
      <c r="C306" s="5" t="s">
        <v>7</v>
      </c>
      <c r="D306" t="s">
        <v>545</v>
      </c>
      <c r="E306" t="str">
        <f t="shared" si="163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tr">
        <f t="shared" si="138"/>
        <v>SPS3</v>
      </c>
      <c r="C307" s="5" t="s">
        <v>7</v>
      </c>
      <c r="D307" t="s">
        <v>546</v>
      </c>
      <c r="E307" t="str">
        <f t="shared" si="163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tr">
        <f t="shared" ref="B308:B371" si="170">B307</f>
        <v>SPS3</v>
      </c>
      <c r="C308" s="5" t="s">
        <v>7</v>
      </c>
      <c r="D308" t="s">
        <v>851</v>
      </c>
      <c r="E308" t="str">
        <f t="shared" si="163"/>
        <v>PJ/yr.</v>
      </c>
      <c r="F308" s="1">
        <f>SUM(F309:F323)</f>
        <v>4.0609552381025917</v>
      </c>
      <c r="G308" s="1">
        <f t="shared" ref="G308:K308" si="171">SUM(G309:G323)</f>
        <v>2.1969237971574729</v>
      </c>
      <c r="H308" s="1">
        <f t="shared" si="171"/>
        <v>1.4000898257755392</v>
      </c>
      <c r="I308" s="1">
        <f t="shared" si="171"/>
        <v>1.4224362734463278</v>
      </c>
      <c r="J308" s="1">
        <f t="shared" si="171"/>
        <v>3.8558503383421154</v>
      </c>
      <c r="K308" s="1">
        <f t="shared" si="171"/>
        <v>11.868418487018367</v>
      </c>
    </row>
    <row r="309" spans="1:11" x14ac:dyDescent="0.25">
      <c r="A309" s="5" t="s">
        <v>5</v>
      </c>
      <c r="B309" s="5" t="str">
        <f t="shared" si="170"/>
        <v>SPS3</v>
      </c>
      <c r="C309" s="5" t="s">
        <v>7</v>
      </c>
      <c r="D309" t="s">
        <v>98</v>
      </c>
      <c r="E309" t="str">
        <f t="shared" si="163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3.5013397940599461E-2</v>
      </c>
      <c r="K309" s="1">
        <f>'[1]Electricity and CHPs_IN'!G$21</f>
        <v>2.9540481151484822E-2</v>
      </c>
    </row>
    <row r="310" spans="1:11" x14ac:dyDescent="0.25">
      <c r="A310" s="5" t="s">
        <v>5</v>
      </c>
      <c r="B310" s="5" t="str">
        <f t="shared" si="170"/>
        <v>SPS3</v>
      </c>
      <c r="C310" s="5" t="s">
        <v>7</v>
      </c>
      <c r="D310" t="s">
        <v>99</v>
      </c>
      <c r="E310" t="str">
        <f t="shared" si="163"/>
        <v>PJ/yr.</v>
      </c>
      <c r="F310" s="1">
        <f>'[1]Electricity and CHPs_IN'!B$22</f>
        <v>0</v>
      </c>
      <c r="G310" s="1">
        <f>'[1]Electricity and CHPs_IN'!C$22</f>
        <v>2.7794541448106953E-3</v>
      </c>
      <c r="H310" s="1">
        <f>'[1]Electricity and CHPs_IN'!D$22</f>
        <v>1.3847637281284936E-2</v>
      </c>
      <c r="I310" s="1">
        <f>'[1]Electricity and CHPs_IN'!E$22</f>
        <v>2.1171967921259317E-3</v>
      </c>
      <c r="J310" s="1">
        <f>'[1]Electricity and CHPs_IN'!F$22</f>
        <v>0.10397449020293469</v>
      </c>
      <c r="K310" s="1">
        <f>'[1]Electricity and CHPs_IN'!G$22</f>
        <v>3.4201180507432649E-2</v>
      </c>
    </row>
    <row r="311" spans="1:11" x14ac:dyDescent="0.25">
      <c r="A311" s="5" t="s">
        <v>5</v>
      </c>
      <c r="B311" s="5" t="str">
        <f t="shared" si="170"/>
        <v>SPS3</v>
      </c>
      <c r="C311" s="5" t="s">
        <v>7</v>
      </c>
      <c r="D311" t="s">
        <v>100</v>
      </c>
      <c r="E311" t="str">
        <f t="shared" si="163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4.0833393545983135E-3</v>
      </c>
      <c r="K311" s="1">
        <f>'[1]Electricity and CHPs_IN'!G$23</f>
        <v>8.1051805137729378</v>
      </c>
    </row>
    <row r="312" spans="1:11" x14ac:dyDescent="0.25">
      <c r="A312" s="5" t="s">
        <v>5</v>
      </c>
      <c r="B312" s="5" t="str">
        <f t="shared" si="170"/>
        <v>SPS3</v>
      </c>
      <c r="C312" s="5" t="s">
        <v>7</v>
      </c>
      <c r="D312" t="s">
        <v>101</v>
      </c>
      <c r="E312" t="str">
        <f t="shared" si="163"/>
        <v>PJ/yr.</v>
      </c>
      <c r="F312" s="1">
        <f>IFERROR(F84/SUM(F84+F187),0)*'[1]Electricity and CHPs_IN'!B$24</f>
        <v>1.2849888961407194</v>
      </c>
      <c r="G312" s="1">
        <f>IFERROR(G84/SUM(G84+G187),0)*'[1]Electricity and CHPs_IN'!C$24</f>
        <v>1.6297541730011518E-3</v>
      </c>
      <c r="H312" s="1">
        <f>IFERROR(H84/SUM(H84+H187),0)*'[1]Electricity and CHPs_IN'!D$24</f>
        <v>3.7823929185373342E-3</v>
      </c>
      <c r="I312" s="1">
        <f>IFERROR(I84/SUM(I84+I187),0)*'[1]Electricity and CHPs_IN'!E$24</f>
        <v>1.5435941689330252E-3</v>
      </c>
      <c r="J312" s="1">
        <f>IFERROR(J84/SUM(J84+J187),0)*'[1]Electricity and CHPs_IN'!F$24</f>
        <v>9.0620417582078616E-2</v>
      </c>
      <c r="K312" s="1">
        <f>IFERROR(K84/SUM(K84+K187),0)*'[1]Electricity and CHPs_IN'!G$24</f>
        <v>7.4704915382155061E-4</v>
      </c>
    </row>
    <row r="313" spans="1:11" x14ac:dyDescent="0.25">
      <c r="A313" s="5" t="s">
        <v>5</v>
      </c>
      <c r="B313" s="5" t="str">
        <f t="shared" si="170"/>
        <v>SPS3</v>
      </c>
      <c r="C313" s="5" t="s">
        <v>7</v>
      </c>
      <c r="D313" t="s">
        <v>102</v>
      </c>
      <c r="E313" t="str">
        <f t="shared" si="163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0.45863888282254972</v>
      </c>
      <c r="K313" s="1">
        <f>IFERROR(K85/SUM(K85+K188),0)*'[1]Electricity and CHPs_IN'!G$29</f>
        <v>0.76786617653971245</v>
      </c>
    </row>
    <row r="314" spans="1:11" x14ac:dyDescent="0.25">
      <c r="A314" s="5" t="s">
        <v>5</v>
      </c>
      <c r="B314" s="5" t="str">
        <f t="shared" si="170"/>
        <v>SPS3</v>
      </c>
      <c r="C314" s="5" t="s">
        <v>7</v>
      </c>
      <c r="D314" t="s">
        <v>103</v>
      </c>
      <c r="E314" t="str">
        <f t="shared" si="163"/>
        <v>PJ/yr.</v>
      </c>
      <c r="F314" s="1">
        <f>F86/SUM(F86,F239)*'[1]Electricity and CHPs_IN'!B$39</f>
        <v>0.89328950546410046</v>
      </c>
      <c r="G314" s="1">
        <f>G86/SUM(G86,G239)*'[1]Electricity and CHPs_IN'!C$39</f>
        <v>0.13474943692679267</v>
      </c>
      <c r="H314" s="1">
        <f>H86/SUM(H86,H239)*'[1]Electricity and CHPs_IN'!D$39</f>
        <v>6.6303063095183662E-2</v>
      </c>
      <c r="I314" s="1">
        <f>I86/SUM(I86,I239)*'[1]Electricity and CHPs_IN'!E$39</f>
        <v>3.1500704480068843E-2</v>
      </c>
      <c r="J314" s="1">
        <f>J86/SUM(J86,J239)*'[1]Electricity and CHPs_IN'!F$39</f>
        <v>8.8945455735358683E-3</v>
      </c>
      <c r="K314" s="1">
        <f>K86/SUM(K86,K239)*'[1]Electricity and CHPs_IN'!G$39</f>
        <v>2.6788930050703517E-2</v>
      </c>
    </row>
    <row r="315" spans="1:11" x14ac:dyDescent="0.25">
      <c r="A315" s="5" t="s">
        <v>5</v>
      </c>
      <c r="B315" s="5" t="str">
        <f t="shared" si="170"/>
        <v>SPS3</v>
      </c>
      <c r="C315" s="5" t="s">
        <v>7</v>
      </c>
      <c r="D315" t="s">
        <v>104</v>
      </c>
      <c r="E315" t="str">
        <f t="shared" si="163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1.268896766462662E-3</v>
      </c>
      <c r="K315" s="1">
        <f>IFERROR(K87/SUM(K87,K240),0)*'[1]Electricity and CHPs_IN'!G$40</f>
        <v>1.0495828278730525E-2</v>
      </c>
    </row>
    <row r="316" spans="1:11" x14ac:dyDescent="0.25">
      <c r="A316" s="5" t="s">
        <v>5</v>
      </c>
      <c r="B316" s="5" t="str">
        <f t="shared" si="170"/>
        <v>SPS3</v>
      </c>
      <c r="C316" s="5" t="s">
        <v>7</v>
      </c>
      <c r="D316" t="s">
        <v>105</v>
      </c>
      <c r="E316" t="str">
        <f t="shared" si="163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tr">
        <f t="shared" si="170"/>
        <v>SPS3</v>
      </c>
      <c r="C317" s="5" t="s">
        <v>7</v>
      </c>
      <c r="D317" t="s">
        <v>106</v>
      </c>
      <c r="E317" t="str">
        <f t="shared" si="163"/>
        <v>PJ/yr.</v>
      </c>
      <c r="F317" s="1">
        <f>F89/SUM(F89,F242)*'[1]Electricity and CHPs_IN'!B$48</f>
        <v>1.8803036207192751E-2</v>
      </c>
      <c r="G317" s="1">
        <f>G89/SUM(G89,G242)*'[1]Electricity and CHPs_IN'!C$48</f>
        <v>8.959838760620108E-3</v>
      </c>
      <c r="H317" s="1">
        <f>H89/SUM(H89,H242)*'[1]Electricity and CHPs_IN'!D$48</f>
        <v>5.1160194634451064E-3</v>
      </c>
      <c r="I317" s="1">
        <f>I89/SUM(I89,I242)*'[1]Electricity and CHPs_IN'!E$48</f>
        <v>2.1185309286281973E-3</v>
      </c>
      <c r="J317" s="1">
        <f>J89/SUM(J89,J242)*'[1]Electricity and CHPs_IN'!F$48</f>
        <v>3.024696445853783E-3</v>
      </c>
      <c r="K317" s="1">
        <f>K89/SUM(K89,K242)*'[1]Electricity and CHPs_IN'!G$48</f>
        <v>2.2324775827917425E-3</v>
      </c>
    </row>
    <row r="318" spans="1:11" x14ac:dyDescent="0.25">
      <c r="A318" s="5" t="s">
        <v>5</v>
      </c>
      <c r="B318" s="5" t="str">
        <f t="shared" si="170"/>
        <v>SPS3</v>
      </c>
      <c r="C318" s="5" t="s">
        <v>7</v>
      </c>
      <c r="D318" t="s">
        <v>107</v>
      </c>
      <c r="E318" t="str">
        <f t="shared" si="163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6.6032202883838272E-4</v>
      </c>
      <c r="J318" s="1">
        <f>IFERROR(J90/SUM(J90,J243),0)*'[1]Electricity and CHPs_IN'!F$49</f>
        <v>2.286704517836852E-3</v>
      </c>
      <c r="K318" s="1">
        <f>IFERROR(K90/SUM(K90,K243),0)*'[1]Electricity and CHPs_IN'!G$49</f>
        <v>1.8947641603263114E-3</v>
      </c>
    </row>
    <row r="319" spans="1:11" x14ac:dyDescent="0.25">
      <c r="A319" s="5" t="s">
        <v>5</v>
      </c>
      <c r="B319" s="5" t="str">
        <f t="shared" si="170"/>
        <v>SPS3</v>
      </c>
      <c r="C319" s="5" t="s">
        <v>7</v>
      </c>
      <c r="D319" t="s">
        <v>108</v>
      </c>
      <c r="E319" t="str">
        <f t="shared" si="163"/>
        <v>PJ/yr.</v>
      </c>
      <c r="F319" s="1">
        <f>IFERROR(F91/SUM(F91,F244),0)*'[1]Electricity and CHPs_IN'!B$51</f>
        <v>2.8414437147765283E-2</v>
      </c>
      <c r="G319" s="1">
        <f>IFERROR(G91/SUM(G91,G244),0)*'[1]Electricity and CHPs_IN'!C$51</f>
        <v>2.7032055750728255E-3</v>
      </c>
      <c r="H319" s="1">
        <f>IFERROR(H91/SUM(H91,H244),0)*'[1]Electricity and CHPs_IN'!D$51</f>
        <v>6.3206504784923036E-3</v>
      </c>
      <c r="I319" s="1">
        <f>IFERROR(I91/SUM(I91,I244),0)*'[1]Electricity and CHPs_IN'!E$51</f>
        <v>1.882916410389085E-3</v>
      </c>
      <c r="J319" s="1">
        <f>IFERROR(J91/SUM(J91,J244),0)*'[1]Electricity and CHPs_IN'!F$51</f>
        <v>1.4762787888892455</v>
      </c>
      <c r="K319" s="1">
        <f>IFERROR(K91/SUM(K91,K244),0)*'[1]Electricity and CHPs_IN'!G$51</f>
        <v>0.90353901280788484</v>
      </c>
    </row>
    <row r="320" spans="1:11" x14ac:dyDescent="0.25">
      <c r="A320" s="5" t="s">
        <v>5</v>
      </c>
      <c r="B320" s="5" t="str">
        <f t="shared" si="170"/>
        <v>SPS3</v>
      </c>
      <c r="C320" s="5" t="s">
        <v>7</v>
      </c>
      <c r="D320" t="s">
        <v>109</v>
      </c>
      <c r="E320" t="str">
        <f t="shared" si="163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1.4769002711855885E-3</v>
      </c>
      <c r="J320" s="1">
        <f>IFERROR(J92/SUM(J92,J245),0)*'[1]Electricity and CHPs_IN'!F$52</f>
        <v>0.10930730120824866</v>
      </c>
      <c r="K320" s="1">
        <f>IFERROR(K92/SUM(K92,K245),0)*'[1]Electricity and CHPs_IN'!G$52</f>
        <v>0.40410879505228287</v>
      </c>
    </row>
    <row r="321" spans="1:11" x14ac:dyDescent="0.25">
      <c r="A321" s="5" t="s">
        <v>5</v>
      </c>
      <c r="B321" s="5" t="str">
        <f t="shared" si="170"/>
        <v>SPS3</v>
      </c>
      <c r="C321" s="5" t="s">
        <v>7</v>
      </c>
      <c r="D321" t="s">
        <v>110</v>
      </c>
      <c r="E321" t="str">
        <f t="shared" si="163"/>
        <v>PJ/yr.</v>
      </c>
      <c r="F321" s="1">
        <f>IFERROR(F93/SUM(F93,F246),0)*'[1]Electricity and CHPs_IN'!B$54</f>
        <v>1.0647015041521861</v>
      </c>
      <c r="G321" s="1">
        <f>IFERROR(G93/SUM(G93,G246),0)*'[1]Electricity and CHPs_IN'!C$54</f>
        <v>1.2552135512475169</v>
      </c>
      <c r="H321" s="1">
        <f>IFERROR(H93/SUM(H93,H246),0)*'[1]Electricity and CHPs_IN'!D$54</f>
        <v>1.3002184425540311</v>
      </c>
      <c r="I321" s="1">
        <f>IFERROR(I93/SUM(I93,I246),0)*'[1]Electricity and CHPs_IN'!E$54</f>
        <v>1.3801282678734641</v>
      </c>
      <c r="J321" s="1">
        <f>IFERROR(J93/SUM(J93,J246),0)*'[1]Electricity and CHPs_IN'!F$54</f>
        <v>1.5451027841809029</v>
      </c>
      <c r="K321" s="1">
        <f>IFERROR(K93/SUM(K93,K246),0)*'[1]Electricity and CHPs_IN'!G$54</f>
        <v>1.5039749887260723</v>
      </c>
    </row>
    <row r="322" spans="1:11" x14ac:dyDescent="0.25">
      <c r="A322" s="5" t="s">
        <v>5</v>
      </c>
      <c r="B322" s="5" t="str">
        <f t="shared" si="170"/>
        <v>SPS3</v>
      </c>
      <c r="C322" s="5" t="s">
        <v>7</v>
      </c>
      <c r="D322" t="s">
        <v>111</v>
      </c>
      <c r="E322" t="str">
        <f t="shared" si="163"/>
        <v>PJ/yr.</v>
      </c>
      <c r="F322" s="1">
        <f>IFERROR(F94/SUM(F94,F247),0)*'[1]Electricity and CHPs_IN'!B$55</f>
        <v>0.77075785899062776</v>
      </c>
      <c r="G322" s="1">
        <f>IFERROR(G94/SUM(G94,G247),0)*'[1]Electricity and CHPs_IN'!C$55</f>
        <v>0.7908885563296586</v>
      </c>
      <c r="H322" s="1">
        <f>IFERROR(H94/SUM(H94,H247),0)*'[1]Electricity and CHPs_IN'!D$55</f>
        <v>4.501619984564862E-3</v>
      </c>
      <c r="I322" s="1">
        <f>IFERROR(I94/SUM(I94,I247),0)*'[1]Electricity and CHPs_IN'!E$55</f>
        <v>7.372695805372084E-4</v>
      </c>
      <c r="J322" s="1">
        <f>IFERROR(J94/SUM(J94,J247),0)*'[1]Electricity and CHPs_IN'!F$55</f>
        <v>9.1592865810850056E-3</v>
      </c>
      <c r="K322" s="1">
        <f>IFERROR(K94/SUM(K94,K247),0)*'[1]Electricity and CHPs_IN'!G$55</f>
        <v>4.9389049086201139E-4</v>
      </c>
    </row>
    <row r="323" spans="1:11" x14ac:dyDescent="0.25">
      <c r="A323" s="5" t="s">
        <v>5</v>
      </c>
      <c r="B323" s="5" t="str">
        <f t="shared" si="170"/>
        <v>SPS3</v>
      </c>
      <c r="C323" s="5" t="s">
        <v>7</v>
      </c>
      <c r="D323" t="s">
        <v>112</v>
      </c>
      <c r="E323" t="str">
        <f t="shared" si="163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2.7057091215748472E-4</v>
      </c>
      <c r="J323" s="1">
        <f>IFERROR(J95/SUM(J95,J248),0)*'[1]Electricity and CHPs_IN'!F$58</f>
        <v>8.1968062761834555E-3</v>
      </c>
      <c r="K323" s="1">
        <f>IFERROR(K95/SUM(K95,K248),0)*'[1]Electricity and CHPs_IN'!G$58</f>
        <v>7.7354398743325115E-2</v>
      </c>
    </row>
    <row r="324" spans="1:11" x14ac:dyDescent="0.25">
      <c r="A324" s="5" t="s">
        <v>5</v>
      </c>
      <c r="B324" s="5" t="str">
        <f t="shared" si="170"/>
        <v>SPS3</v>
      </c>
      <c r="C324" s="5" t="s">
        <v>7</v>
      </c>
      <c r="D324" t="s">
        <v>852</v>
      </c>
      <c r="E324" t="str">
        <f t="shared" si="163"/>
        <v>PJ/yr.</v>
      </c>
      <c r="F324" s="1">
        <f>F308-F340</f>
        <v>2.9190710319453288</v>
      </c>
      <c r="G324" s="1">
        <f t="shared" ref="G324:K324" si="172">G308-G340</f>
        <v>0.9118901025174313</v>
      </c>
      <c r="H324" s="1">
        <f t="shared" si="172"/>
        <v>8.8909024874796794E-2</v>
      </c>
      <c r="I324" s="1">
        <f t="shared" si="172"/>
        <v>4.2297142246447539E-2</v>
      </c>
      <c r="J324" s="1">
        <f t="shared" si="172"/>
        <v>1.9565109844782707</v>
      </c>
      <c r="K324" s="1">
        <f t="shared" si="172"/>
        <v>5.7305380188513562</v>
      </c>
    </row>
    <row r="325" spans="1:11" x14ac:dyDescent="0.25">
      <c r="A325" s="5" t="s">
        <v>5</v>
      </c>
      <c r="B325" s="5" t="str">
        <f t="shared" si="170"/>
        <v>SPS3</v>
      </c>
      <c r="C325" s="5" t="s">
        <v>7</v>
      </c>
      <c r="D325" t="s">
        <v>579</v>
      </c>
      <c r="E325" t="str">
        <f t="shared" si="163"/>
        <v>PJ/yr.</v>
      </c>
      <c r="F325" s="1">
        <f>IFERROR(F97/F81,0)*F309</f>
        <v>0</v>
      </c>
      <c r="G325" s="1">
        <f t="shared" ref="G325:K325" si="173">IFERROR(G97/G81,0)*G309</f>
        <v>0</v>
      </c>
      <c r="H325" s="1">
        <f t="shared" si="173"/>
        <v>0</v>
      </c>
      <c r="I325" s="1">
        <f t="shared" si="173"/>
        <v>0</v>
      </c>
      <c r="J325" s="1">
        <f t="shared" si="173"/>
        <v>2.9645859648895437E-2</v>
      </c>
      <c r="K325" s="1">
        <f t="shared" si="173"/>
        <v>1.6333038079819499E-2</v>
      </c>
    </row>
    <row r="326" spans="1:11" x14ac:dyDescent="0.25">
      <c r="A326" s="5" t="s">
        <v>5</v>
      </c>
      <c r="B326" s="5" t="str">
        <f t="shared" si="170"/>
        <v>SPS3</v>
      </c>
      <c r="C326" s="5" t="s">
        <v>7</v>
      </c>
      <c r="D326" t="s">
        <v>580</v>
      </c>
      <c r="E326" t="str">
        <f t="shared" si="163"/>
        <v>PJ/yr.</v>
      </c>
      <c r="F326" s="1">
        <f t="shared" ref="F326:K326" si="174">IFERROR(F98/F82,0)*F310</f>
        <v>0</v>
      </c>
      <c r="G326" s="1">
        <f t="shared" si="174"/>
        <v>2.6914401070414523E-3</v>
      </c>
      <c r="H326" s="1">
        <f t="shared" si="174"/>
        <v>1.2327654707337436E-2</v>
      </c>
      <c r="I326" s="1">
        <f t="shared" si="174"/>
        <v>2.1166531645186058E-3</v>
      </c>
      <c r="J326" s="1">
        <f t="shared" si="174"/>
        <v>8.8035247217393628E-2</v>
      </c>
      <c r="K326" s="1">
        <f t="shared" si="174"/>
        <v>1.8909955485765673E-2</v>
      </c>
    </row>
    <row r="327" spans="1:11" x14ac:dyDescent="0.25">
      <c r="A327" s="5" t="s">
        <v>5</v>
      </c>
      <c r="B327" s="5" t="str">
        <f t="shared" si="170"/>
        <v>SPS3</v>
      </c>
      <c r="C327" s="5" t="s">
        <v>7</v>
      </c>
      <c r="D327" t="s">
        <v>581</v>
      </c>
      <c r="E327" t="str">
        <f t="shared" si="163"/>
        <v>PJ/yr.</v>
      </c>
      <c r="F327" s="1">
        <f t="shared" ref="F327:K327" si="175">IFERROR(F99/F83,0)*F311</f>
        <v>0</v>
      </c>
      <c r="G327" s="1">
        <f t="shared" si="175"/>
        <v>0</v>
      </c>
      <c r="H327" s="1">
        <f t="shared" si="175"/>
        <v>0</v>
      </c>
      <c r="I327" s="1">
        <f t="shared" si="175"/>
        <v>0</v>
      </c>
      <c r="J327" s="1">
        <f t="shared" si="175"/>
        <v>3.4573652523129067E-3</v>
      </c>
      <c r="K327" s="1">
        <f t="shared" si="175"/>
        <v>4.4813834038925355</v>
      </c>
    </row>
    <row r="328" spans="1:11" x14ac:dyDescent="0.25">
      <c r="A328" s="5" t="s">
        <v>5</v>
      </c>
      <c r="B328" s="5" t="str">
        <f t="shared" si="170"/>
        <v>SPS3</v>
      </c>
      <c r="C328" s="5" t="s">
        <v>7</v>
      </c>
      <c r="D328" t="s">
        <v>582</v>
      </c>
      <c r="E328" t="str">
        <f t="shared" si="163"/>
        <v>PJ/yr.</v>
      </c>
      <c r="F328" s="1">
        <f t="shared" ref="F328:K328" si="176">IFERROR(F100/F84,0)*F312</f>
        <v>1.2518879227729203</v>
      </c>
      <c r="G328" s="1">
        <f t="shared" si="176"/>
        <v>1.5781464695227864E-3</v>
      </c>
      <c r="H328" s="1">
        <f t="shared" si="176"/>
        <v>3.367219470011991E-3</v>
      </c>
      <c r="I328" s="1">
        <f t="shared" si="176"/>
        <v>1.5431978239131103E-3</v>
      </c>
      <c r="J328" s="1">
        <f t="shared" si="176"/>
        <v>7.6728347974689692E-2</v>
      </c>
      <c r="K328" s="1">
        <f t="shared" si="176"/>
        <v>4.1304615907554438E-4</v>
      </c>
    </row>
    <row r="329" spans="1:11" x14ac:dyDescent="0.25">
      <c r="A329" s="5" t="s">
        <v>5</v>
      </c>
      <c r="B329" s="5" t="str">
        <f t="shared" si="170"/>
        <v>SPS3</v>
      </c>
      <c r="C329" s="5" t="s">
        <v>7</v>
      </c>
      <c r="D329" t="s">
        <v>583</v>
      </c>
      <c r="E329" t="str">
        <f t="shared" si="163"/>
        <v>PJ/yr.</v>
      </c>
      <c r="F329" s="1">
        <f t="shared" ref="F329:K329" si="177">IFERROR(F101/F85,0)*F313</f>
        <v>0</v>
      </c>
      <c r="G329" s="1">
        <f t="shared" si="177"/>
        <v>0</v>
      </c>
      <c r="H329" s="1">
        <f t="shared" si="177"/>
        <v>0</v>
      </c>
      <c r="I329" s="1">
        <f t="shared" si="177"/>
        <v>0</v>
      </c>
      <c r="J329" s="1">
        <f t="shared" si="177"/>
        <v>0.38832974659444663</v>
      </c>
      <c r="K329" s="1">
        <f t="shared" si="177"/>
        <v>0.42455596567011689</v>
      </c>
    </row>
    <row r="330" spans="1:11" x14ac:dyDescent="0.25">
      <c r="A330" s="5" t="s">
        <v>5</v>
      </c>
      <c r="B330" s="5" t="str">
        <f t="shared" si="170"/>
        <v>SPS3</v>
      </c>
      <c r="C330" s="5" t="s">
        <v>7</v>
      </c>
      <c r="D330" t="s">
        <v>584</v>
      </c>
      <c r="E330" t="str">
        <f t="shared" si="163"/>
        <v>PJ/yr.</v>
      </c>
      <c r="F330" s="1">
        <f t="shared" ref="F330:K330" si="178">IFERROR(F102/F86,0)*F314</f>
        <v>0.87027860457701312</v>
      </c>
      <c r="G330" s="1">
        <f t="shared" si="178"/>
        <v>0.1304824688772562</v>
      </c>
      <c r="H330" s="1">
        <f t="shared" si="178"/>
        <v>5.902532332940974E-2</v>
      </c>
      <c r="I330" s="1">
        <f t="shared" si="178"/>
        <v>3.1492616118765221E-2</v>
      </c>
      <c r="J330" s="1">
        <f t="shared" si="178"/>
        <v>7.5310157032200892E-3</v>
      </c>
      <c r="K330" s="1">
        <f t="shared" si="178"/>
        <v>1.4811695598051174E-2</v>
      </c>
    </row>
    <row r="331" spans="1:11" x14ac:dyDescent="0.25">
      <c r="A331" s="5" t="s">
        <v>5</v>
      </c>
      <c r="B331" s="5" t="str">
        <f t="shared" si="170"/>
        <v>SPS3</v>
      </c>
      <c r="C331" s="5" t="s">
        <v>7</v>
      </c>
      <c r="D331" t="s">
        <v>585</v>
      </c>
      <c r="E331" t="str">
        <f t="shared" si="163"/>
        <v>PJ/yr.</v>
      </c>
      <c r="F331" s="1">
        <f t="shared" ref="F331:K331" si="179">IFERROR(F103/F87,0)*F315</f>
        <v>0</v>
      </c>
      <c r="G331" s="1">
        <f t="shared" si="179"/>
        <v>0</v>
      </c>
      <c r="H331" s="1">
        <f t="shared" si="179"/>
        <v>0</v>
      </c>
      <c r="I331" s="1">
        <f t="shared" si="179"/>
        <v>0</v>
      </c>
      <c r="J331" s="1">
        <f t="shared" si="179"/>
        <v>1.0743754579691982E-3</v>
      </c>
      <c r="K331" s="1">
        <f t="shared" si="179"/>
        <v>5.8031811356307351E-3</v>
      </c>
    </row>
    <row r="332" spans="1:11" x14ac:dyDescent="0.25">
      <c r="A332" s="5" t="s">
        <v>5</v>
      </c>
      <c r="B332" s="5" t="str">
        <f t="shared" si="170"/>
        <v>SPS3</v>
      </c>
      <c r="C332" s="5" t="s">
        <v>7</v>
      </c>
      <c r="D332" t="s">
        <v>586</v>
      </c>
      <c r="E332" t="str">
        <f t="shared" si="163"/>
        <v>PJ/yr.</v>
      </c>
      <c r="F332" s="1">
        <f t="shared" ref="F332:K332" si="180">IFERROR(F104/F88,0)*F316</f>
        <v>0</v>
      </c>
      <c r="G332" s="1">
        <f t="shared" si="180"/>
        <v>0</v>
      </c>
      <c r="H332" s="1">
        <f t="shared" si="180"/>
        <v>0</v>
      </c>
      <c r="I332" s="1">
        <f t="shared" si="180"/>
        <v>0</v>
      </c>
      <c r="J332" s="1">
        <f t="shared" si="180"/>
        <v>0</v>
      </c>
      <c r="K332" s="1">
        <f t="shared" si="180"/>
        <v>0</v>
      </c>
    </row>
    <row r="333" spans="1:11" x14ac:dyDescent="0.25">
      <c r="A333" s="5" t="s">
        <v>5</v>
      </c>
      <c r="B333" s="5" t="str">
        <f t="shared" si="170"/>
        <v>SPS3</v>
      </c>
      <c r="C333" s="5" t="s">
        <v>7</v>
      </c>
      <c r="D333" t="s">
        <v>587</v>
      </c>
      <c r="E333" t="str">
        <f t="shared" si="163"/>
        <v>PJ/yr.</v>
      </c>
      <c r="F333" s="1">
        <f t="shared" ref="F333:K333" si="181">IFERROR(F105/F89,0)*F317</f>
        <v>1.8318674978393547E-2</v>
      </c>
      <c r="G333" s="1">
        <f t="shared" si="181"/>
        <v>8.6761170131122878E-3</v>
      </c>
      <c r="H333" s="1">
        <f t="shared" si="181"/>
        <v>4.5544608181358158E-3</v>
      </c>
      <c r="I333" s="1">
        <f t="shared" si="181"/>
        <v>2.1179869584578002E-3</v>
      </c>
      <c r="J333" s="1">
        <f t="shared" si="181"/>
        <v>2.5610118294265407E-3</v>
      </c>
      <c r="K333" s="1">
        <f t="shared" si="181"/>
        <v>1.2343448701832716E-3</v>
      </c>
    </row>
    <row r="334" spans="1:11" x14ac:dyDescent="0.25">
      <c r="A334" s="5" t="s">
        <v>5</v>
      </c>
      <c r="B334" s="5" t="str">
        <f t="shared" si="170"/>
        <v>SPS3</v>
      </c>
      <c r="C334" s="5" t="s">
        <v>7</v>
      </c>
      <c r="D334" t="s">
        <v>588</v>
      </c>
      <c r="E334" t="str">
        <f t="shared" si="163"/>
        <v>PJ/yr.</v>
      </c>
      <c r="F334" s="1">
        <f t="shared" ref="F334:K334" si="182">IFERROR(F106/F90,0)*F318</f>
        <v>0</v>
      </c>
      <c r="G334" s="1">
        <f t="shared" si="182"/>
        <v>0</v>
      </c>
      <c r="H334" s="1">
        <f t="shared" si="182"/>
        <v>0</v>
      </c>
      <c r="I334" s="1">
        <f t="shared" si="182"/>
        <v>6.6015247951451404E-4</v>
      </c>
      <c r="J334" s="1">
        <f t="shared" si="182"/>
        <v>1.9361537349015653E-3</v>
      </c>
      <c r="K334" s="1">
        <f t="shared" si="182"/>
        <v>1.0476219065013886E-3</v>
      </c>
    </row>
    <row r="335" spans="1:11" x14ac:dyDescent="0.25">
      <c r="A335" s="5" t="s">
        <v>5</v>
      </c>
      <c r="B335" s="5" t="str">
        <f t="shared" si="170"/>
        <v>SPS3</v>
      </c>
      <c r="C335" s="5" t="s">
        <v>7</v>
      </c>
      <c r="D335" t="s">
        <v>589</v>
      </c>
      <c r="E335" t="str">
        <f t="shared" si="163"/>
        <v>PJ/yr.</v>
      </c>
      <c r="F335" s="1">
        <f t="shared" ref="F335:K335" si="183">IFERROR(F107/F91,0)*F319</f>
        <v>2.7682488778317128E-2</v>
      </c>
      <c r="G335" s="1">
        <f t="shared" si="183"/>
        <v>2.6176060202009852E-3</v>
      </c>
      <c r="H335" s="1">
        <f t="shared" si="183"/>
        <v>5.6268657996933107E-3</v>
      </c>
      <c r="I335" s="1">
        <f t="shared" si="183"/>
        <v>1.8824329384006606E-3</v>
      </c>
      <c r="J335" s="1">
        <f t="shared" si="183"/>
        <v>1.2499659088301156</v>
      </c>
      <c r="K335" s="1">
        <f t="shared" si="183"/>
        <v>0.49956996391211222</v>
      </c>
    </row>
    <row r="336" spans="1:11" x14ac:dyDescent="0.25">
      <c r="A336" s="5" t="s">
        <v>5</v>
      </c>
      <c r="B336" s="5" t="str">
        <f t="shared" si="170"/>
        <v>SPS3</v>
      </c>
      <c r="C336" s="5" t="s">
        <v>7</v>
      </c>
      <c r="D336" t="s">
        <v>590</v>
      </c>
      <c r="E336" t="str">
        <f t="shared" si="163"/>
        <v>PJ/yr.</v>
      </c>
      <c r="F336" s="1">
        <f t="shared" ref="F336:K336" si="184">IFERROR(F108/F92,0)*F320</f>
        <v>0</v>
      </c>
      <c r="G336" s="1">
        <f t="shared" si="184"/>
        <v>0</v>
      </c>
      <c r="H336" s="1">
        <f t="shared" si="184"/>
        <v>0</v>
      </c>
      <c r="I336" s="1">
        <f t="shared" si="184"/>
        <v>1.4765210509998835E-3</v>
      </c>
      <c r="J336" s="1">
        <f t="shared" si="184"/>
        <v>9.2550540673511039E-2</v>
      </c>
      <c r="K336" s="1">
        <f t="shared" si="184"/>
        <v>0.2234332035464206</v>
      </c>
    </row>
    <row r="337" spans="1:11" x14ac:dyDescent="0.25">
      <c r="A337" s="5" t="s">
        <v>5</v>
      </c>
      <c r="B337" s="5" t="str">
        <f t="shared" si="170"/>
        <v>SPS3</v>
      </c>
      <c r="C337" s="5" t="s">
        <v>7</v>
      </c>
      <c r="D337" t="s">
        <v>591</v>
      </c>
      <c r="E337" t="str">
        <f t="shared" si="163"/>
        <v>PJ/yr.</v>
      </c>
      <c r="F337" s="1">
        <f t="shared" ref="F337:K337" si="185">IFERROR(F109/F93,0)*F321</f>
        <v>0</v>
      </c>
      <c r="G337" s="1">
        <f t="shared" si="185"/>
        <v>0</v>
      </c>
      <c r="H337" s="1">
        <f t="shared" si="185"/>
        <v>0</v>
      </c>
      <c r="I337" s="1">
        <f t="shared" si="185"/>
        <v>0</v>
      </c>
      <c r="J337" s="1">
        <f t="shared" si="185"/>
        <v>0</v>
      </c>
      <c r="K337" s="1">
        <f t="shared" si="185"/>
        <v>0</v>
      </c>
    </row>
    <row r="338" spans="1:11" x14ac:dyDescent="0.25">
      <c r="A338" s="5" t="s">
        <v>5</v>
      </c>
      <c r="B338" s="5" t="str">
        <f t="shared" si="170"/>
        <v>SPS3</v>
      </c>
      <c r="C338" s="5" t="s">
        <v>7</v>
      </c>
      <c r="D338" t="s">
        <v>592</v>
      </c>
      <c r="E338" t="str">
        <f t="shared" si="163"/>
        <v>PJ/yr.</v>
      </c>
      <c r="F338" s="1">
        <f t="shared" ref="F338:K338" si="186">IFERROR(F110/F94,0)*F322</f>
        <v>0.75090334083868493</v>
      </c>
      <c r="G338" s="1">
        <f t="shared" si="186"/>
        <v>0.76584432403029767</v>
      </c>
      <c r="H338" s="1">
        <f t="shared" si="186"/>
        <v>4.0075007502085513E-3</v>
      </c>
      <c r="I338" s="1">
        <f t="shared" si="186"/>
        <v>7.3708027357268239E-4</v>
      </c>
      <c r="J338" s="1">
        <f t="shared" si="186"/>
        <v>7.7551720323608339E-3</v>
      </c>
      <c r="K338" s="1">
        <f t="shared" si="186"/>
        <v>2.7307382547844892E-4</v>
      </c>
    </row>
    <row r="339" spans="1:11" x14ac:dyDescent="0.25">
      <c r="A339" s="5" t="s">
        <v>5</v>
      </c>
      <c r="B339" s="5" t="str">
        <f t="shared" si="170"/>
        <v>SPS3</v>
      </c>
      <c r="C339" s="5" t="s">
        <v>7</v>
      </c>
      <c r="D339" t="s">
        <v>593</v>
      </c>
      <c r="E339" t="str">
        <f t="shared" si="163"/>
        <v>PJ/yr.</v>
      </c>
      <c r="F339" s="1">
        <f t="shared" ref="F339:K339" si="187">IFERROR(F111/F95,0)*F323</f>
        <v>0</v>
      </c>
      <c r="G339" s="1">
        <f t="shared" si="187"/>
        <v>0</v>
      </c>
      <c r="H339" s="1">
        <f t="shared" si="187"/>
        <v>0</v>
      </c>
      <c r="I339" s="1">
        <f t="shared" si="187"/>
        <v>2.7050143830501373E-4</v>
      </c>
      <c r="J339" s="1">
        <f t="shared" si="187"/>
        <v>6.9402395290275431E-3</v>
      </c>
      <c r="K339" s="1">
        <f t="shared" si="187"/>
        <v>4.2769524769665633E-2</v>
      </c>
    </row>
    <row r="340" spans="1:11" x14ac:dyDescent="0.25">
      <c r="A340" s="5" t="s">
        <v>5</v>
      </c>
      <c r="B340" s="5" t="str">
        <f t="shared" si="170"/>
        <v>SPS3</v>
      </c>
      <c r="C340" s="5" t="s">
        <v>7</v>
      </c>
      <c r="D340" t="s">
        <v>853</v>
      </c>
      <c r="E340" t="str">
        <f t="shared" si="163"/>
        <v>PJ/yr.</v>
      </c>
      <c r="F340" s="1">
        <f>SUM(F341:F355)</f>
        <v>1.1418842061572629</v>
      </c>
      <c r="G340" s="1">
        <f t="shared" ref="G340:K340" si="188">SUM(G341:G355)</f>
        <v>1.2850336946400416</v>
      </c>
      <c r="H340" s="1">
        <f t="shared" si="188"/>
        <v>1.3111808009007424</v>
      </c>
      <c r="I340" s="1">
        <f t="shared" si="188"/>
        <v>1.3801391311998803</v>
      </c>
      <c r="J340" s="1">
        <f t="shared" si="188"/>
        <v>1.8993393538638448</v>
      </c>
      <c r="K340" s="1">
        <f t="shared" si="188"/>
        <v>6.1378804681670109</v>
      </c>
    </row>
    <row r="341" spans="1:11" x14ac:dyDescent="0.25">
      <c r="A341" s="5" t="s">
        <v>5</v>
      </c>
      <c r="B341" s="5" t="str">
        <f t="shared" si="170"/>
        <v>SPS3</v>
      </c>
      <c r="C341" s="5" t="s">
        <v>7</v>
      </c>
      <c r="D341" t="s">
        <v>640</v>
      </c>
      <c r="E341" t="str">
        <f t="shared" si="163"/>
        <v>PJ/yr.</v>
      </c>
      <c r="F341" s="1">
        <f>F309-F325</f>
        <v>0</v>
      </c>
      <c r="G341" s="1">
        <f t="shared" ref="G341:K341" si="189">G309-G325</f>
        <v>0</v>
      </c>
      <c r="H341" s="1">
        <f t="shared" si="189"/>
        <v>0</v>
      </c>
      <c r="I341" s="1">
        <f t="shared" si="189"/>
        <v>0</v>
      </c>
      <c r="J341" s="1">
        <f t="shared" si="189"/>
        <v>5.3675382917040236E-3</v>
      </c>
      <c r="K341" s="1">
        <f t="shared" si="189"/>
        <v>1.3207443071665322E-2</v>
      </c>
    </row>
    <row r="342" spans="1:11" x14ac:dyDescent="0.25">
      <c r="A342" s="5" t="s">
        <v>5</v>
      </c>
      <c r="B342" s="5" t="str">
        <f t="shared" si="170"/>
        <v>SPS3</v>
      </c>
      <c r="C342" s="5" t="s">
        <v>7</v>
      </c>
      <c r="D342" t="s">
        <v>641</v>
      </c>
      <c r="E342" t="str">
        <f t="shared" si="163"/>
        <v>PJ/yr.</v>
      </c>
      <c r="F342" s="1">
        <f t="shared" ref="F342:K342" si="190">F310-F326</f>
        <v>0</v>
      </c>
      <c r="G342" s="1">
        <f t="shared" si="190"/>
        <v>8.8014037769243002E-5</v>
      </c>
      <c r="H342" s="1">
        <f t="shared" si="190"/>
        <v>1.5199825739475002E-3</v>
      </c>
      <c r="I342" s="1">
        <f t="shared" si="190"/>
        <v>5.4362760732590276E-7</v>
      </c>
      <c r="J342" s="1">
        <f t="shared" si="190"/>
        <v>1.5939242985541058E-2</v>
      </c>
      <c r="K342" s="1">
        <f t="shared" si="190"/>
        <v>1.5291225021666976E-2</v>
      </c>
    </row>
    <row r="343" spans="1:11" x14ac:dyDescent="0.25">
      <c r="A343" s="5" t="s">
        <v>5</v>
      </c>
      <c r="B343" s="5" t="str">
        <f t="shared" si="170"/>
        <v>SPS3</v>
      </c>
      <c r="C343" s="5" t="s">
        <v>7</v>
      </c>
      <c r="D343" t="s">
        <v>642</v>
      </c>
      <c r="E343" t="str">
        <f t="shared" si="163"/>
        <v>PJ/yr.</v>
      </c>
      <c r="F343" s="1">
        <f t="shared" ref="F343:K343" si="191">F311-F327</f>
        <v>0</v>
      </c>
      <c r="G343" s="1">
        <f t="shared" si="191"/>
        <v>0</v>
      </c>
      <c r="H343" s="1">
        <f t="shared" si="191"/>
        <v>0</v>
      </c>
      <c r="I343" s="1">
        <f t="shared" si="191"/>
        <v>0</v>
      </c>
      <c r="J343" s="1">
        <f t="shared" si="191"/>
        <v>6.2597410228540677E-4</v>
      </c>
      <c r="K343" s="1">
        <f t="shared" si="191"/>
        <v>3.6237971098804023</v>
      </c>
    </row>
    <row r="344" spans="1:11" x14ac:dyDescent="0.25">
      <c r="A344" s="5" t="s">
        <v>5</v>
      </c>
      <c r="B344" s="5" t="str">
        <f t="shared" si="170"/>
        <v>SPS3</v>
      </c>
      <c r="C344" s="5" t="s">
        <v>7</v>
      </c>
      <c r="D344" t="s">
        <v>643</v>
      </c>
      <c r="E344" t="str">
        <f t="shared" si="163"/>
        <v>PJ/yr.</v>
      </c>
      <c r="F344" s="1">
        <f t="shared" ref="F344:K344" si="192">F312-F328</f>
        <v>3.3100973367799158E-2</v>
      </c>
      <c r="G344" s="1">
        <f t="shared" si="192"/>
        <v>5.1607703478365359E-5</v>
      </c>
      <c r="H344" s="1">
        <f t="shared" si="192"/>
        <v>4.1517344852534319E-4</v>
      </c>
      <c r="I344" s="1">
        <f t="shared" si="192"/>
        <v>3.9634501991492842E-7</v>
      </c>
      <c r="J344" s="1">
        <f t="shared" si="192"/>
        <v>1.3892069607388924E-2</v>
      </c>
      <c r="K344" s="1">
        <f t="shared" si="192"/>
        <v>3.3400299474600623E-4</v>
      </c>
    </row>
    <row r="345" spans="1:11" x14ac:dyDescent="0.25">
      <c r="A345" s="5" t="s">
        <v>5</v>
      </c>
      <c r="B345" s="5" t="str">
        <f t="shared" si="170"/>
        <v>SPS3</v>
      </c>
      <c r="C345" s="5" t="s">
        <v>7</v>
      </c>
      <c r="D345" t="s">
        <v>644</v>
      </c>
      <c r="E345" t="str">
        <f t="shared" si="163"/>
        <v>PJ/yr.</v>
      </c>
      <c r="F345" s="1">
        <f t="shared" ref="F345:K345" si="193">F313-F329</f>
        <v>0</v>
      </c>
      <c r="G345" s="1">
        <f t="shared" si="193"/>
        <v>0</v>
      </c>
      <c r="H345" s="1">
        <f t="shared" si="193"/>
        <v>0</v>
      </c>
      <c r="I345" s="1">
        <f t="shared" si="193"/>
        <v>0</v>
      </c>
      <c r="J345" s="1">
        <f t="shared" si="193"/>
        <v>7.0309136228103086E-2</v>
      </c>
      <c r="K345" s="1">
        <f t="shared" si="193"/>
        <v>0.34331021086959557</v>
      </c>
    </row>
    <row r="346" spans="1:11" x14ac:dyDescent="0.25">
      <c r="A346" s="5" t="s">
        <v>5</v>
      </c>
      <c r="B346" s="5" t="str">
        <f t="shared" si="170"/>
        <v>SPS3</v>
      </c>
      <c r="C346" s="5" t="s">
        <v>7</v>
      </c>
      <c r="D346" t="s">
        <v>645</v>
      </c>
      <c r="E346" t="str">
        <f t="shared" si="163"/>
        <v>PJ/yr.</v>
      </c>
      <c r="F346" s="1">
        <f t="shared" ref="F346:K346" si="194">F314-F330</f>
        <v>2.3010900887087349E-2</v>
      </c>
      <c r="G346" s="1">
        <f t="shared" si="194"/>
        <v>4.2669680495364681E-3</v>
      </c>
      <c r="H346" s="1">
        <f t="shared" si="194"/>
        <v>7.2777397657739218E-3</v>
      </c>
      <c r="I346" s="1">
        <f t="shared" si="194"/>
        <v>8.0883613036222823E-6</v>
      </c>
      <c r="J346" s="1">
        <f t="shared" si="194"/>
        <v>1.3635298703157791E-3</v>
      </c>
      <c r="K346" s="1">
        <f t="shared" si="194"/>
        <v>1.1977234452652342E-2</v>
      </c>
    </row>
    <row r="347" spans="1:11" x14ac:dyDescent="0.25">
      <c r="A347" s="5" t="s">
        <v>5</v>
      </c>
      <c r="B347" s="5" t="str">
        <f t="shared" si="170"/>
        <v>SPS3</v>
      </c>
      <c r="C347" s="5" t="s">
        <v>7</v>
      </c>
      <c r="D347" t="s">
        <v>646</v>
      </c>
      <c r="E347" t="str">
        <f t="shared" si="163"/>
        <v>PJ/yr.</v>
      </c>
      <c r="F347" s="1">
        <f t="shared" ref="F347:K347" si="195">F315-F331</f>
        <v>0</v>
      </c>
      <c r="G347" s="1">
        <f t="shared" si="195"/>
        <v>0</v>
      </c>
      <c r="H347" s="1">
        <f t="shared" si="195"/>
        <v>0</v>
      </c>
      <c r="I347" s="1">
        <f t="shared" si="195"/>
        <v>0</v>
      </c>
      <c r="J347" s="1">
        <f t="shared" si="195"/>
        <v>1.9452130849346386E-4</v>
      </c>
      <c r="K347" s="1">
        <f t="shared" si="195"/>
        <v>4.6926471430997901E-3</v>
      </c>
    </row>
    <row r="348" spans="1:11" x14ac:dyDescent="0.25">
      <c r="A348" s="5" t="s">
        <v>5</v>
      </c>
      <c r="B348" s="5" t="str">
        <f t="shared" si="170"/>
        <v>SPS3</v>
      </c>
      <c r="C348" s="5" t="s">
        <v>7</v>
      </c>
      <c r="D348" t="s">
        <v>647</v>
      </c>
      <c r="E348" t="str">
        <f t="shared" si="163"/>
        <v>PJ/yr.</v>
      </c>
      <c r="F348" s="1">
        <f t="shared" ref="F348:K348" si="196">F316-F332</f>
        <v>0</v>
      </c>
      <c r="G348" s="1">
        <f t="shared" si="196"/>
        <v>0</v>
      </c>
      <c r="H348" s="1">
        <f t="shared" si="196"/>
        <v>0</v>
      </c>
      <c r="I348" s="1">
        <f t="shared" si="196"/>
        <v>0</v>
      </c>
      <c r="J348" s="1">
        <f t="shared" si="196"/>
        <v>0</v>
      </c>
      <c r="K348" s="1">
        <f t="shared" si="196"/>
        <v>0</v>
      </c>
    </row>
    <row r="349" spans="1:11" x14ac:dyDescent="0.25">
      <c r="A349" s="5" t="s">
        <v>5</v>
      </c>
      <c r="B349" s="5" t="str">
        <f t="shared" si="170"/>
        <v>SPS3</v>
      </c>
      <c r="C349" s="5" t="s">
        <v>7</v>
      </c>
      <c r="D349" t="s">
        <v>648</v>
      </c>
      <c r="E349" t="str">
        <f t="shared" si="163"/>
        <v>PJ/yr.</v>
      </c>
      <c r="F349" s="1">
        <f t="shared" ref="F349:K349" si="197">F317-F333</f>
        <v>4.843612287992044E-4</v>
      </c>
      <c r="G349" s="1">
        <f t="shared" si="197"/>
        <v>2.837217475078202E-4</v>
      </c>
      <c r="H349" s="1">
        <f t="shared" si="197"/>
        <v>5.6155864530929057E-4</v>
      </c>
      <c r="I349" s="1">
        <f t="shared" si="197"/>
        <v>5.4397017039712822E-7</v>
      </c>
      <c r="J349" s="1">
        <f t="shared" si="197"/>
        <v>4.6368461642724238E-4</v>
      </c>
      <c r="K349" s="1">
        <f t="shared" si="197"/>
        <v>9.9813271260847081E-4</v>
      </c>
    </row>
    <row r="350" spans="1:11" x14ac:dyDescent="0.25">
      <c r="A350" s="5" t="s">
        <v>5</v>
      </c>
      <c r="B350" s="5" t="str">
        <f t="shared" si="170"/>
        <v>SPS3</v>
      </c>
      <c r="C350" s="5" t="s">
        <v>7</v>
      </c>
      <c r="D350" t="s">
        <v>649</v>
      </c>
      <c r="E350" t="str">
        <f t="shared" si="163"/>
        <v>PJ/yr.</v>
      </c>
      <c r="F350" s="1">
        <f t="shared" ref="F350:K350" si="198">F318-F334</f>
        <v>0</v>
      </c>
      <c r="G350" s="1">
        <f t="shared" si="198"/>
        <v>0</v>
      </c>
      <c r="H350" s="1">
        <f t="shared" si="198"/>
        <v>0</v>
      </c>
      <c r="I350" s="1">
        <f t="shared" si="198"/>
        <v>1.6954932386867815E-7</v>
      </c>
      <c r="J350" s="1">
        <f t="shared" si="198"/>
        <v>3.5055078293528674E-4</v>
      </c>
      <c r="K350" s="1">
        <f t="shared" si="198"/>
        <v>8.4714225382492283E-4</v>
      </c>
    </row>
    <row r="351" spans="1:11" x14ac:dyDescent="0.25">
      <c r="A351" s="5" t="s">
        <v>5</v>
      </c>
      <c r="B351" s="5" t="str">
        <f t="shared" si="170"/>
        <v>SPS3</v>
      </c>
      <c r="C351" s="5" t="s">
        <v>7</v>
      </c>
      <c r="D351" t="s">
        <v>650</v>
      </c>
      <c r="E351" t="str">
        <f t="shared" si="163"/>
        <v>PJ/yr.</v>
      </c>
      <c r="F351" s="1">
        <f t="shared" ref="F351:K351" si="199">F319-F335</f>
        <v>7.3194836944815572E-4</v>
      </c>
      <c r="G351" s="1">
        <f t="shared" si="199"/>
        <v>8.559955487184032E-5</v>
      </c>
      <c r="H351" s="1">
        <f t="shared" si="199"/>
        <v>6.9378467879899295E-4</v>
      </c>
      <c r="I351" s="1">
        <f t="shared" si="199"/>
        <v>4.8347198842437974E-7</v>
      </c>
      <c r="J351" s="1">
        <f t="shared" si="199"/>
        <v>0.22631288005912986</v>
      </c>
      <c r="K351" s="1">
        <f t="shared" si="199"/>
        <v>0.40396904889577262</v>
      </c>
    </row>
    <row r="352" spans="1:11" x14ac:dyDescent="0.25">
      <c r="A352" s="5" t="s">
        <v>5</v>
      </c>
      <c r="B352" s="5" t="str">
        <f t="shared" si="170"/>
        <v>SPS3</v>
      </c>
      <c r="C352" s="5" t="s">
        <v>7</v>
      </c>
      <c r="D352" t="s">
        <v>651</v>
      </c>
      <c r="E352" t="str">
        <f t="shared" si="163"/>
        <v>PJ/yr.</v>
      </c>
      <c r="F352" s="1">
        <f t="shared" ref="F352:K352" si="200">F320-F336</f>
        <v>0</v>
      </c>
      <c r="G352" s="1">
        <f t="shared" si="200"/>
        <v>0</v>
      </c>
      <c r="H352" s="1">
        <f t="shared" si="200"/>
        <v>0</v>
      </c>
      <c r="I352" s="1">
        <f t="shared" si="200"/>
        <v>3.7922018570495965E-7</v>
      </c>
      <c r="J352" s="1">
        <f t="shared" si="200"/>
        <v>1.6756760534737625E-2</v>
      </c>
      <c r="K352" s="1">
        <f t="shared" si="200"/>
        <v>0.18067559150586227</v>
      </c>
    </row>
    <row r="353" spans="1:15" x14ac:dyDescent="0.25">
      <c r="A353" s="5" t="s">
        <v>5</v>
      </c>
      <c r="B353" s="5" t="str">
        <f t="shared" si="170"/>
        <v>SPS3</v>
      </c>
      <c r="C353" s="5" t="s">
        <v>7</v>
      </c>
      <c r="D353" t="s">
        <v>652</v>
      </c>
      <c r="E353" t="str">
        <f t="shared" si="163"/>
        <v>PJ/yr.</v>
      </c>
      <c r="F353" s="1">
        <f t="shared" ref="F353:K353" si="201">F321-F337</f>
        <v>1.0647015041521861</v>
      </c>
      <c r="G353" s="1">
        <f t="shared" si="201"/>
        <v>1.2552135512475169</v>
      </c>
      <c r="H353" s="1">
        <f t="shared" si="201"/>
        <v>1.3002184425540311</v>
      </c>
      <c r="I353" s="1">
        <f t="shared" si="201"/>
        <v>1.3801282678734641</v>
      </c>
      <c r="J353" s="1">
        <f t="shared" si="201"/>
        <v>1.5451027841809029</v>
      </c>
      <c r="K353" s="1">
        <f t="shared" si="201"/>
        <v>1.5039749887260723</v>
      </c>
    </row>
    <row r="354" spans="1:15" x14ac:dyDescent="0.25">
      <c r="A354" s="5" t="s">
        <v>5</v>
      </c>
      <c r="B354" s="5" t="str">
        <f t="shared" si="170"/>
        <v>SPS3</v>
      </c>
      <c r="C354" s="5" t="s">
        <v>7</v>
      </c>
      <c r="D354" t="s">
        <v>653</v>
      </c>
      <c r="E354" t="str">
        <f t="shared" si="163"/>
        <v>PJ/yr.</v>
      </c>
      <c r="F354" s="1">
        <f t="shared" ref="F354:K354" si="202">F322-F338</f>
        <v>1.9854518151942835E-2</v>
      </c>
      <c r="G354" s="1">
        <f t="shared" si="202"/>
        <v>2.5044232299360925E-2</v>
      </c>
      <c r="H354" s="1">
        <f t="shared" si="202"/>
        <v>4.9411923435631073E-4</v>
      </c>
      <c r="I354" s="1">
        <f t="shared" si="202"/>
        <v>1.8930696452600353E-7</v>
      </c>
      <c r="J354" s="1">
        <f t="shared" si="202"/>
        <v>1.4041145487241717E-3</v>
      </c>
      <c r="K354" s="1">
        <f t="shared" si="202"/>
        <v>2.2081666538356247E-4</v>
      </c>
    </row>
    <row r="355" spans="1:15" x14ac:dyDescent="0.25">
      <c r="A355" s="5" t="s">
        <v>5</v>
      </c>
      <c r="B355" s="5" t="str">
        <f t="shared" si="170"/>
        <v>SPS3</v>
      </c>
      <c r="C355" s="5" t="s">
        <v>7</v>
      </c>
      <c r="D355" t="s">
        <v>654</v>
      </c>
      <c r="E355" t="str">
        <f t="shared" si="163"/>
        <v>PJ/yr.</v>
      </c>
      <c r="F355" s="1">
        <f t="shared" ref="F355:K355" si="203">F323-F339</f>
        <v>0</v>
      </c>
      <c r="G355" s="1">
        <f t="shared" si="203"/>
        <v>0</v>
      </c>
      <c r="H355" s="1">
        <f t="shared" si="203"/>
        <v>0</v>
      </c>
      <c r="I355" s="1">
        <f t="shared" si="203"/>
        <v>6.9473852470989649E-8</v>
      </c>
      <c r="J355" s="1">
        <f t="shared" si="203"/>
        <v>1.2565667471559124E-3</v>
      </c>
      <c r="K355" s="1">
        <f t="shared" si="203"/>
        <v>3.4584873973659482E-2</v>
      </c>
    </row>
    <row r="356" spans="1:15" x14ac:dyDescent="0.25">
      <c r="A356" s="5" t="s">
        <v>5</v>
      </c>
      <c r="B356" s="5" t="str">
        <f t="shared" si="170"/>
        <v>SPS3</v>
      </c>
      <c r="C356" s="5" t="s">
        <v>7</v>
      </c>
      <c r="D356" t="s">
        <v>854</v>
      </c>
      <c r="E356" t="str">
        <f t="shared" ref="E356:E406" si="204">E355</f>
        <v>PJ/yr.</v>
      </c>
      <c r="F356" s="1">
        <f>SUM(F357:F362)</f>
        <v>22.439136891074551</v>
      </c>
      <c r="G356" s="1">
        <f t="shared" ref="G356:K356" si="205">SUM(G357:G362)</f>
        <v>24.536291053119612</v>
      </c>
      <c r="H356" s="1">
        <f t="shared" si="205"/>
        <v>25.033022192494943</v>
      </c>
      <c r="I356" s="1">
        <f t="shared" si="205"/>
        <v>25.661774655456171</v>
      </c>
      <c r="J356" s="1">
        <f t="shared" si="205"/>
        <v>26.472336402014715</v>
      </c>
      <c r="K356" s="1">
        <f t="shared" si="205"/>
        <v>33.546508444428113</v>
      </c>
    </row>
    <row r="357" spans="1:15" x14ac:dyDescent="0.25">
      <c r="A357" s="5" t="s">
        <v>5</v>
      </c>
      <c r="B357" s="5" t="str">
        <f t="shared" si="170"/>
        <v>SPS3</v>
      </c>
      <c r="C357" s="5" t="s">
        <v>7</v>
      </c>
      <c r="D357" t="s">
        <v>113</v>
      </c>
      <c r="E357" t="str">
        <f t="shared" si="204"/>
        <v>PJ/yr.</v>
      </c>
      <c r="F357" s="1">
        <f>'[1]Electricity and CHPs_IN'!B$19</f>
        <v>18.203592234824285</v>
      </c>
      <c r="G357" s="1">
        <f>'[1]Electricity and CHPs_IN'!C$19</f>
        <v>20.479202533502445</v>
      </c>
      <c r="H357" s="1">
        <f>'[1]Electricity and CHPs_IN'!D$19</f>
        <v>20.734843908250912</v>
      </c>
      <c r="I357" s="1">
        <f>'[1]Electricity and CHPs_IN'!E$19</f>
        <v>20.94907717232168</v>
      </c>
      <c r="J357" s="1">
        <f>'[1]Electricity and CHPs_IN'!F$19</f>
        <v>21.441558971662296</v>
      </c>
      <c r="K357" s="1">
        <f>'[1]Electricity and CHPs_IN'!G$19</f>
        <v>13.018158035100774</v>
      </c>
      <c r="O357" s="1"/>
    </row>
    <row r="358" spans="1:15" x14ac:dyDescent="0.25">
      <c r="A358" s="5" t="s">
        <v>5</v>
      </c>
      <c r="B358" s="5" t="str">
        <f t="shared" si="170"/>
        <v>SPS3</v>
      </c>
      <c r="C358" s="5" t="s">
        <v>7</v>
      </c>
      <c r="D358" t="s">
        <v>114</v>
      </c>
      <c r="E358" t="str">
        <f t="shared" si="204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1.0602831058220621E-2</v>
      </c>
      <c r="K358" s="1">
        <f>'[1]Electricity and CHPs_IN'!G$20</f>
        <v>13.017231903164763</v>
      </c>
      <c r="O358" s="1"/>
    </row>
    <row r="359" spans="1:15" x14ac:dyDescent="0.25">
      <c r="A359" s="5" t="s">
        <v>5</v>
      </c>
      <c r="B359" s="5" t="str">
        <f t="shared" si="170"/>
        <v>SPS3</v>
      </c>
      <c r="C359" s="5" t="s">
        <v>7</v>
      </c>
      <c r="D359" t="s">
        <v>115</v>
      </c>
      <c r="E359" t="str">
        <f t="shared" si="204"/>
        <v>PJ/yr.</v>
      </c>
      <c r="F359" s="1">
        <f>IFERROR(F131/SUM(F131,F196),0)*'[1]Electricity and CHPs_IN'!B$26</f>
        <v>3.8411007239051091</v>
      </c>
      <c r="G359" s="1">
        <f>IFERROR(G131/SUM(G131,G196),0)*'[1]Electricity and CHPs_IN'!C$26</f>
        <v>3.6543165831343205</v>
      </c>
      <c r="H359" s="1">
        <f>IFERROR(H131/SUM(H131,H196),0)*'[1]Electricity and CHPs_IN'!D$26</f>
        <v>3.6645170810280878</v>
      </c>
      <c r="I359" s="1">
        <f>IFERROR(I131/SUM(I131,I196),0)*'[1]Electricity and CHPs_IN'!E$26</f>
        <v>3.9959375242087565</v>
      </c>
      <c r="J359" s="1">
        <f>IFERROR(J131/SUM(J131,J196),0)*'[1]Electricity and CHPs_IN'!F$26</f>
        <v>4.1475614914232208</v>
      </c>
      <c r="K359" s="1">
        <f>IFERROR(K131/SUM(K131,K196),0)*'[1]Electricity and CHPs_IN'!G$26</f>
        <v>3.7543227335581539</v>
      </c>
    </row>
    <row r="360" spans="1:15" x14ac:dyDescent="0.25">
      <c r="A360" s="5" t="s">
        <v>5</v>
      </c>
      <c r="B360" s="5" t="str">
        <f t="shared" si="170"/>
        <v>SPS3</v>
      </c>
      <c r="C360" s="5" t="s">
        <v>7</v>
      </c>
      <c r="D360" t="s">
        <v>116</v>
      </c>
      <c r="E360" t="str">
        <f t="shared" si="204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1.1858364938811569E-3</v>
      </c>
      <c r="K360" s="1">
        <f>IFERROR(K132/SUM(K132,K197),0)*'[1]Electricity and CHPs_IN'!G$27</f>
        <v>1.3367739846709703</v>
      </c>
    </row>
    <row r="361" spans="1:15" x14ac:dyDescent="0.25">
      <c r="A361" s="5" t="s">
        <v>5</v>
      </c>
      <c r="B361" s="5" t="str">
        <f t="shared" si="170"/>
        <v>SPS3</v>
      </c>
      <c r="C361" s="5" t="s">
        <v>7</v>
      </c>
      <c r="D361" t="s">
        <v>117</v>
      </c>
      <c r="E361" t="str">
        <f t="shared" si="204"/>
        <v>PJ/yr.</v>
      </c>
      <c r="F361" s="1">
        <f>IFERROR(F133/SUM(F133,F272),0)*'[1]Electricity and CHPs_IN'!B$44</f>
        <v>0.39444393234515945</v>
      </c>
      <c r="G361" s="1">
        <f>IFERROR(G133/SUM(G133,G272),0)*'[1]Electricity and CHPs_IN'!C$44</f>
        <v>0.40277193648284626</v>
      </c>
      <c r="H361" s="1">
        <f>IFERROR(H133/SUM(H133,H272),0)*'[1]Electricity and CHPs_IN'!D$44</f>
        <v>0.63366120321594255</v>
      </c>
      <c r="I361" s="1">
        <f>IFERROR(I133/SUM(I133,I272),0)*'[1]Electricity and CHPs_IN'!E$44</f>
        <v>0.71675995892573507</v>
      </c>
      <c r="J361" s="1">
        <f>IFERROR(J133/SUM(J133,J272),0)*'[1]Electricity and CHPs_IN'!F$44</f>
        <v>0.6937510517008092</v>
      </c>
      <c r="K361" s="1">
        <f>IFERROR(K133/SUM(K133,K272),0)*'[1]Electricity and CHPs_IN'!G$44</f>
        <v>4.4007342407325798E-4</v>
      </c>
    </row>
    <row r="362" spans="1:15" x14ac:dyDescent="0.25">
      <c r="A362" s="5" t="s">
        <v>5</v>
      </c>
      <c r="B362" s="5" t="str">
        <f t="shared" si="170"/>
        <v>SPS3</v>
      </c>
      <c r="C362" s="5" t="s">
        <v>7</v>
      </c>
      <c r="D362" t="s">
        <v>118</v>
      </c>
      <c r="E362" t="str">
        <f t="shared" si="204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0.17767621967628483</v>
      </c>
      <c r="K362" s="1">
        <f>IFERROR(K134/SUM(K134,K273),0)*'[1]Electricity and CHPs_IN'!G$45</f>
        <v>2.4195817145093783</v>
      </c>
      <c r="O362" s="4"/>
    </row>
    <row r="363" spans="1:15" x14ac:dyDescent="0.25">
      <c r="A363" s="5" t="s">
        <v>5</v>
      </c>
      <c r="B363" s="5" t="str">
        <f t="shared" si="170"/>
        <v>SPS3</v>
      </c>
      <c r="C363" s="5" t="s">
        <v>7</v>
      </c>
      <c r="D363" t="s">
        <v>855</v>
      </c>
      <c r="E363" t="str">
        <f t="shared" si="204"/>
        <v>PJ/yr.</v>
      </c>
      <c r="F363" s="1">
        <f>SUM(F364:F367)</f>
        <v>11.022346479364696</v>
      </c>
      <c r="G363" s="1">
        <f t="shared" ref="G363:K363" si="206">SUM(G364:G367)</f>
        <v>12.066759558318383</v>
      </c>
      <c r="H363" s="1">
        <f t="shared" si="206"/>
        <v>12.1996804946395</v>
      </c>
      <c r="I363" s="1">
        <f t="shared" si="206"/>
        <v>12.47250734826522</v>
      </c>
      <c r="J363" s="1">
        <f t="shared" si="206"/>
        <v>12.800454565318811</v>
      </c>
      <c r="K363" s="1">
        <f t="shared" si="206"/>
        <v>15.563243328247331</v>
      </c>
      <c r="O363" s="7"/>
    </row>
    <row r="364" spans="1:15" x14ac:dyDescent="0.25">
      <c r="A364" s="5" t="s">
        <v>5</v>
      </c>
      <c r="B364" s="5" t="str">
        <f t="shared" si="170"/>
        <v>SPS3</v>
      </c>
      <c r="C364" s="5" t="s">
        <v>7</v>
      </c>
      <c r="D364" t="s">
        <v>119</v>
      </c>
      <c r="E364" t="str">
        <f t="shared" si="204"/>
        <v>PJ/yr.</v>
      </c>
      <c r="F364" s="1">
        <f>F357*IFERROR(F136/F129,0)</f>
        <v>9.1017961174121425</v>
      </c>
      <c r="G364" s="1">
        <f t="shared" ref="G364:K364" si="207">G357*IFERROR(G136/G129,0)</f>
        <v>10.239601266751222</v>
      </c>
      <c r="H364" s="1">
        <f t="shared" si="207"/>
        <v>10.367421954125456</v>
      </c>
      <c r="I364" s="1">
        <f t="shared" si="207"/>
        <v>10.474538586160842</v>
      </c>
      <c r="J364" s="1">
        <f t="shared" si="207"/>
        <v>10.720779485831148</v>
      </c>
      <c r="K364" s="1">
        <f t="shared" si="207"/>
        <v>6.5090790175503868</v>
      </c>
      <c r="O364" s="1"/>
    </row>
    <row r="365" spans="1:15" x14ac:dyDescent="0.25">
      <c r="A365" s="5" t="s">
        <v>5</v>
      </c>
      <c r="B365" s="5" t="str">
        <f t="shared" si="170"/>
        <v>SPS3</v>
      </c>
      <c r="C365" s="5" t="s">
        <v>7</v>
      </c>
      <c r="D365" t="s">
        <v>120</v>
      </c>
      <c r="E365" t="str">
        <f t="shared" si="204"/>
        <v>PJ/yr.</v>
      </c>
      <c r="F365" s="1">
        <f t="shared" ref="F365:K365" si="208">F358*IFERROR(F137/F130,0)</f>
        <v>0</v>
      </c>
      <c r="G365" s="1">
        <f t="shared" si="208"/>
        <v>0</v>
      </c>
      <c r="H365" s="1">
        <f t="shared" si="208"/>
        <v>0</v>
      </c>
      <c r="I365" s="1">
        <f t="shared" si="208"/>
        <v>0</v>
      </c>
      <c r="J365" s="1">
        <f t="shared" si="208"/>
        <v>5.3014155291103105E-3</v>
      </c>
      <c r="K365" s="1">
        <f t="shared" si="208"/>
        <v>6.5086159515823816</v>
      </c>
    </row>
    <row r="366" spans="1:15" x14ac:dyDescent="0.25">
      <c r="A366" s="5" t="s">
        <v>5</v>
      </c>
      <c r="B366" s="5" t="str">
        <f t="shared" si="170"/>
        <v>SPS3</v>
      </c>
      <c r="C366" s="5" t="s">
        <v>7</v>
      </c>
      <c r="D366" t="s">
        <v>121</v>
      </c>
      <c r="E366" t="str">
        <f t="shared" si="204"/>
        <v>PJ/yr.</v>
      </c>
      <c r="F366" s="1">
        <f t="shared" ref="F366:K366" si="209">F359*IFERROR(F138/F131,0)</f>
        <v>1.9205503619525546</v>
      </c>
      <c r="G366" s="1">
        <f t="shared" si="209"/>
        <v>1.8271582915671603</v>
      </c>
      <c r="H366" s="1">
        <f t="shared" si="209"/>
        <v>1.8322585405140439</v>
      </c>
      <c r="I366" s="1">
        <f t="shared" si="209"/>
        <v>1.9979687621043787</v>
      </c>
      <c r="J366" s="1">
        <f t="shared" si="209"/>
        <v>2.0737807457116104</v>
      </c>
      <c r="K366" s="1">
        <f t="shared" si="209"/>
        <v>1.8771613667790767</v>
      </c>
    </row>
    <row r="367" spans="1:15" x14ac:dyDescent="0.25">
      <c r="A367" s="5" t="s">
        <v>5</v>
      </c>
      <c r="B367" s="5" t="str">
        <f t="shared" si="170"/>
        <v>SPS3</v>
      </c>
      <c r="C367" s="5" t="s">
        <v>7</v>
      </c>
      <c r="D367" t="s">
        <v>122</v>
      </c>
      <c r="E367" t="str">
        <f t="shared" si="204"/>
        <v>PJ/yr.</v>
      </c>
      <c r="F367" s="1">
        <f t="shared" ref="F367:K367" si="210">F360*IFERROR(F139/F132,0)</f>
        <v>0</v>
      </c>
      <c r="G367" s="1">
        <f t="shared" si="210"/>
        <v>0</v>
      </c>
      <c r="H367" s="1">
        <f t="shared" si="210"/>
        <v>0</v>
      </c>
      <c r="I367" s="1">
        <f t="shared" si="210"/>
        <v>0</v>
      </c>
      <c r="J367" s="1">
        <f t="shared" si="210"/>
        <v>5.9291824694057845E-4</v>
      </c>
      <c r="K367" s="1">
        <f t="shared" si="210"/>
        <v>0.66838699233548515</v>
      </c>
    </row>
    <row r="368" spans="1:15" x14ac:dyDescent="0.25">
      <c r="A368" s="5" t="s">
        <v>5</v>
      </c>
      <c r="B368" s="5" t="str">
        <f t="shared" si="170"/>
        <v>SPS3</v>
      </c>
      <c r="C368" s="5" t="s">
        <v>7</v>
      </c>
      <c r="D368" t="s">
        <v>123</v>
      </c>
      <c r="E368" t="str">
        <f t="shared" si="204"/>
        <v>PJ/yr.</v>
      </c>
      <c r="F368" s="1">
        <f t="shared" ref="F368:K368" si="211">F361*IFERROR(F140/F133,0)</f>
        <v>0</v>
      </c>
      <c r="G368" s="1">
        <f t="shared" si="211"/>
        <v>0</v>
      </c>
      <c r="H368" s="1">
        <f t="shared" si="211"/>
        <v>0</v>
      </c>
      <c r="I368" s="1">
        <f t="shared" si="211"/>
        <v>0</v>
      </c>
      <c r="J368" s="1">
        <f t="shared" si="211"/>
        <v>0</v>
      </c>
      <c r="K368" s="1">
        <f t="shared" si="211"/>
        <v>0</v>
      </c>
    </row>
    <row r="369" spans="1:15" x14ac:dyDescent="0.25">
      <c r="A369" s="5" t="s">
        <v>5</v>
      </c>
      <c r="B369" s="5" t="str">
        <f t="shared" si="170"/>
        <v>SPS3</v>
      </c>
      <c r="C369" s="5" t="s">
        <v>7</v>
      </c>
      <c r="D369" t="s">
        <v>124</v>
      </c>
      <c r="E369" t="str">
        <f t="shared" si="204"/>
        <v>PJ/yr.</v>
      </c>
      <c r="F369" s="1">
        <f t="shared" ref="F369:K369" si="212">F362*IFERROR(F141/F134,0)</f>
        <v>0</v>
      </c>
      <c r="G369" s="1">
        <f t="shared" si="212"/>
        <v>0</v>
      </c>
      <c r="H369" s="1">
        <f t="shared" si="212"/>
        <v>0</v>
      </c>
      <c r="I369" s="1">
        <f t="shared" si="212"/>
        <v>0</v>
      </c>
      <c r="J369" s="1">
        <f t="shared" si="212"/>
        <v>0</v>
      </c>
      <c r="K369" s="1">
        <f t="shared" si="212"/>
        <v>0</v>
      </c>
    </row>
    <row r="370" spans="1:15" x14ac:dyDescent="0.25">
      <c r="A370" s="5" t="s">
        <v>5</v>
      </c>
      <c r="B370" s="5" t="str">
        <f t="shared" si="170"/>
        <v>SPS3</v>
      </c>
      <c r="C370" s="5" t="s">
        <v>7</v>
      </c>
      <c r="D370" t="s">
        <v>856</v>
      </c>
      <c r="E370" t="str">
        <f t="shared" si="204"/>
        <v>PJ/yr.</v>
      </c>
      <c r="F370" s="1">
        <f>SUM(F371:F376)</f>
        <v>11.416790411709856</v>
      </c>
      <c r="G370" s="1">
        <f t="shared" ref="G370:K370" si="213">SUM(G371:G376)</f>
        <v>12.469531494801229</v>
      </c>
      <c r="H370" s="1">
        <f t="shared" si="213"/>
        <v>12.833341697855442</v>
      </c>
      <c r="I370" s="1">
        <f t="shared" si="213"/>
        <v>13.189267307190953</v>
      </c>
      <c r="J370" s="1">
        <f t="shared" si="213"/>
        <v>13.671881836695905</v>
      </c>
      <c r="K370" s="1">
        <f t="shared" si="213"/>
        <v>17.983265116180782</v>
      </c>
      <c r="M370" s="1"/>
      <c r="N370" s="1"/>
      <c r="O370" s="1"/>
    </row>
    <row r="371" spans="1:15" x14ac:dyDescent="0.25">
      <c r="A371" s="5" t="s">
        <v>5</v>
      </c>
      <c r="B371" s="5" t="str">
        <f t="shared" si="170"/>
        <v>SPS3</v>
      </c>
      <c r="C371" s="5" t="s">
        <v>7</v>
      </c>
      <c r="D371" t="s">
        <v>125</v>
      </c>
      <c r="E371" t="str">
        <f t="shared" si="204"/>
        <v>PJ/yr.</v>
      </c>
      <c r="F371" s="1">
        <f t="shared" ref="F371:K371" si="214">F364*IFERROR(F143/F136,0)</f>
        <v>9.1017961174121425</v>
      </c>
      <c r="G371" s="1">
        <f t="shared" si="214"/>
        <v>10.239601266751222</v>
      </c>
      <c r="H371" s="1">
        <f t="shared" si="214"/>
        <v>10.367421954125456</v>
      </c>
      <c r="I371" s="1">
        <f t="shared" si="214"/>
        <v>10.47453858616084</v>
      </c>
      <c r="J371" s="1">
        <f t="shared" si="214"/>
        <v>10.720779485831148</v>
      </c>
      <c r="K371" s="1">
        <f t="shared" si="214"/>
        <v>6.5090790175503868</v>
      </c>
      <c r="M371" s="1"/>
      <c r="N371" s="1"/>
      <c r="O371" s="1"/>
    </row>
    <row r="372" spans="1:15" x14ac:dyDescent="0.25">
      <c r="A372" s="5" t="s">
        <v>5</v>
      </c>
      <c r="B372" s="5" t="str">
        <f t="shared" ref="B372:B435" si="215">B371</f>
        <v>SPS3</v>
      </c>
      <c r="C372" s="5" t="s">
        <v>7</v>
      </c>
      <c r="D372" t="s">
        <v>126</v>
      </c>
      <c r="E372" t="str">
        <f t="shared" si="204"/>
        <v>PJ/yr.</v>
      </c>
      <c r="F372" s="1">
        <f t="shared" ref="F372:K372" si="216">F365*IFERROR(F144/F137,0)</f>
        <v>0</v>
      </c>
      <c r="G372" s="1">
        <f t="shared" si="216"/>
        <v>0</v>
      </c>
      <c r="H372" s="1">
        <f t="shared" si="216"/>
        <v>0</v>
      </c>
      <c r="I372" s="1">
        <f t="shared" si="216"/>
        <v>0</v>
      </c>
      <c r="J372" s="1">
        <f t="shared" si="216"/>
        <v>5.3014155291103105E-3</v>
      </c>
      <c r="K372" s="1">
        <f t="shared" si="216"/>
        <v>6.5086159515823816</v>
      </c>
    </row>
    <row r="373" spans="1:15" x14ac:dyDescent="0.25">
      <c r="A373" s="5" t="s">
        <v>5</v>
      </c>
      <c r="B373" s="5" t="str">
        <f t="shared" si="215"/>
        <v>SPS3</v>
      </c>
      <c r="C373" s="5" t="s">
        <v>7</v>
      </c>
      <c r="D373" t="s">
        <v>127</v>
      </c>
      <c r="E373" t="str">
        <f t="shared" si="204"/>
        <v>PJ/yr.</v>
      </c>
      <c r="F373" s="1">
        <f t="shared" ref="F373:K373" si="217">F366*IFERROR(F145/F138,0)</f>
        <v>1.9205503619525546</v>
      </c>
      <c r="G373" s="1">
        <f t="shared" si="217"/>
        <v>1.8271582915671603</v>
      </c>
      <c r="H373" s="1">
        <f t="shared" si="217"/>
        <v>1.8322585405140439</v>
      </c>
      <c r="I373" s="1">
        <f t="shared" si="217"/>
        <v>1.997968762104378</v>
      </c>
      <c r="J373" s="1">
        <f t="shared" si="217"/>
        <v>2.0737807457116104</v>
      </c>
      <c r="K373" s="1">
        <f t="shared" si="217"/>
        <v>1.8771613667790772</v>
      </c>
    </row>
    <row r="374" spans="1:15" x14ac:dyDescent="0.25">
      <c r="A374" s="5" t="s">
        <v>5</v>
      </c>
      <c r="B374" s="5" t="str">
        <f t="shared" si="215"/>
        <v>SPS3</v>
      </c>
      <c r="C374" s="5" t="s">
        <v>7</v>
      </c>
      <c r="D374" t="s">
        <v>128</v>
      </c>
      <c r="E374" t="str">
        <f t="shared" si="204"/>
        <v>PJ/yr.</v>
      </c>
      <c r="F374" s="1">
        <f t="shared" ref="F374:K374" si="218">F367*IFERROR(F146/F139,0)</f>
        <v>0</v>
      </c>
      <c r="G374" s="1">
        <f t="shared" si="218"/>
        <v>0</v>
      </c>
      <c r="H374" s="1">
        <f t="shared" si="218"/>
        <v>0</v>
      </c>
      <c r="I374" s="1">
        <f t="shared" si="218"/>
        <v>0</v>
      </c>
      <c r="J374" s="1">
        <f t="shared" si="218"/>
        <v>5.9291824694057845E-4</v>
      </c>
      <c r="K374" s="1">
        <f t="shared" si="218"/>
        <v>0.66838699233548515</v>
      </c>
    </row>
    <row r="375" spans="1:15" x14ac:dyDescent="0.25">
      <c r="A375" s="5" t="s">
        <v>5</v>
      </c>
      <c r="B375" s="5" t="str">
        <f t="shared" si="215"/>
        <v>SPS3</v>
      </c>
      <c r="C375" s="5" t="s">
        <v>7</v>
      </c>
      <c r="D375" t="s">
        <v>129</v>
      </c>
      <c r="E375" t="str">
        <f t="shared" si="204"/>
        <v>PJ/yr.</v>
      </c>
      <c r="F375" s="1">
        <f>F361</f>
        <v>0.39444393234515945</v>
      </c>
      <c r="G375" s="1">
        <f t="shared" ref="G375:K375" si="219">G361</f>
        <v>0.40277193648284626</v>
      </c>
      <c r="H375" s="1">
        <f t="shared" si="219"/>
        <v>0.63366120321594255</v>
      </c>
      <c r="I375" s="1">
        <f t="shared" si="219"/>
        <v>0.71675995892573507</v>
      </c>
      <c r="J375" s="1">
        <f t="shared" si="219"/>
        <v>0.6937510517008092</v>
      </c>
      <c r="K375" s="1">
        <f t="shared" si="219"/>
        <v>4.4007342407325798E-4</v>
      </c>
    </row>
    <row r="376" spans="1:15" x14ac:dyDescent="0.25">
      <c r="A376" s="5" t="s">
        <v>5</v>
      </c>
      <c r="B376" s="5" t="str">
        <f t="shared" si="215"/>
        <v>SPS3</v>
      </c>
      <c r="C376" s="5" t="s">
        <v>7</v>
      </c>
      <c r="D376" t="s">
        <v>130</v>
      </c>
      <c r="E376" t="str">
        <f t="shared" si="204"/>
        <v>PJ/yr.</v>
      </c>
      <c r="F376" s="1">
        <f t="shared" ref="F376:K376" si="220">F362</f>
        <v>0</v>
      </c>
      <c r="G376" s="1">
        <f t="shared" si="220"/>
        <v>0</v>
      </c>
      <c r="H376" s="1">
        <f t="shared" si="220"/>
        <v>0</v>
      </c>
      <c r="I376" s="1">
        <f t="shared" si="220"/>
        <v>0</v>
      </c>
      <c r="J376" s="1">
        <f t="shared" si="220"/>
        <v>0.17767621967628483</v>
      </c>
      <c r="K376" s="1">
        <f t="shared" si="220"/>
        <v>2.4195817145093783</v>
      </c>
    </row>
    <row r="377" spans="1:15" x14ac:dyDescent="0.25">
      <c r="A377" s="5" t="s">
        <v>5</v>
      </c>
      <c r="B377" s="5" t="str">
        <f t="shared" si="215"/>
        <v>SPS3</v>
      </c>
      <c r="C377" s="5" t="s">
        <v>7</v>
      </c>
      <c r="D377" t="s">
        <v>857</v>
      </c>
      <c r="E377" t="str">
        <f t="shared" si="204"/>
        <v>PJ/yr.</v>
      </c>
      <c r="F377" s="1">
        <f>SUM(F378:F384)</f>
        <v>0.58334589767277245</v>
      </c>
      <c r="G377" s="1">
        <f t="shared" ref="G377:K377" si="221">SUM(G378:G384)</f>
        <v>0.5439748930325885</v>
      </c>
      <c r="H377" s="1">
        <f t="shared" si="221"/>
        <v>1.2303717434265347</v>
      </c>
      <c r="I377" s="1">
        <f t="shared" si="221"/>
        <v>1.4651128813613332</v>
      </c>
      <c r="J377" s="1">
        <f t="shared" si="221"/>
        <v>4.1618842416070505</v>
      </c>
      <c r="K377" s="1">
        <f t="shared" si="221"/>
        <v>9.3422452249435768</v>
      </c>
    </row>
    <row r="378" spans="1:15" x14ac:dyDescent="0.25">
      <c r="A378" s="5" t="s">
        <v>5</v>
      </c>
      <c r="B378" s="5" t="str">
        <f t="shared" si="215"/>
        <v>SPS3</v>
      </c>
      <c r="C378" s="5" t="s">
        <v>7</v>
      </c>
      <c r="D378" t="s">
        <v>131</v>
      </c>
      <c r="E378" t="str">
        <f t="shared" si="204"/>
        <v>PJ/yr.</v>
      </c>
      <c r="F378" s="1">
        <f>IFERROR(F150/SUM(F150,F205),0)*'[1]Electricity and CHPs_IN'!B$25</f>
        <v>0.4022790991376089</v>
      </c>
      <c r="G378" s="1">
        <f>IFERROR(G150/SUM(G150,G205),0)*'[1]Electricity and CHPs_IN'!C$25</f>
        <v>2.864088804879359E-2</v>
      </c>
      <c r="H378" s="1">
        <f>IFERROR(H150/SUM(H150,H205),0)*'[1]Electricity and CHPs_IN'!D$25</f>
        <v>8.4439969184412923E-3</v>
      </c>
      <c r="I378" s="1">
        <f>IFERROR(I150/SUM(I150,I205),0)*'[1]Electricity and CHPs_IN'!E$25</f>
        <v>3.6818284261525683E-2</v>
      </c>
      <c r="J378" s="1">
        <f>IFERROR(J150/SUM(J150,J205),0)*'[1]Electricity and CHPs_IN'!F$25</f>
        <v>1.8039294446834759</v>
      </c>
      <c r="K378" s="1">
        <f>IFERROR(K150/SUM(K150,K205),0)*'[1]Electricity and CHPs_IN'!G$25</f>
        <v>2.2261137065368861</v>
      </c>
    </row>
    <row r="379" spans="1:15" x14ac:dyDescent="0.25">
      <c r="A379" s="5" t="s">
        <v>5</v>
      </c>
      <c r="B379" s="5" t="str">
        <f t="shared" si="215"/>
        <v>SPS3</v>
      </c>
      <c r="C379" s="5" t="s">
        <v>7</v>
      </c>
      <c r="D379" t="s">
        <v>132</v>
      </c>
      <c r="E379" t="str">
        <f t="shared" si="204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3.7549676740629158E-3</v>
      </c>
      <c r="K379" s="1">
        <f>'[1]Electricity and CHPs_IN'!G$31</f>
        <v>3.9867505122836873</v>
      </c>
    </row>
    <row r="380" spans="1:15" x14ac:dyDescent="0.25">
      <c r="A380" s="5" t="s">
        <v>5</v>
      </c>
      <c r="B380" s="5" t="str">
        <f t="shared" si="215"/>
        <v>SPS3</v>
      </c>
      <c r="C380" s="5" t="s">
        <v>7</v>
      </c>
      <c r="D380" t="s">
        <v>133</v>
      </c>
      <c r="E380" t="str">
        <f t="shared" si="204"/>
        <v>PJ/yr.</v>
      </c>
      <c r="F380" s="1">
        <f>IFERROR(F152/SUM(F152,F281),0)*'[1]Electricity and CHPs_IN'!B$42</f>
        <v>0.18106679853516353</v>
      </c>
      <c r="G380" s="1">
        <f>IFERROR(G152/SUM(G152,G281),0)*'[1]Electricity and CHPs_IN'!C$42</f>
        <v>0.51533400498379489</v>
      </c>
      <c r="H380" s="1">
        <f>IFERROR(H152/SUM(H152,H281),0)*'[1]Electricity and CHPs_IN'!D$42</f>
        <v>1.2219277465080933</v>
      </c>
      <c r="I380" s="1">
        <f>IFERROR(I152/SUM(I152,I281),0)*'[1]Electricity and CHPs_IN'!E$42</f>
        <v>1.4201965787098609</v>
      </c>
      <c r="J380" s="1">
        <f>IFERROR(J152/SUM(J152,J281),0)*'[1]Electricity and CHPs_IN'!F$42</f>
        <v>1.7416612505167806</v>
      </c>
      <c r="K380" s="1">
        <f>IFERROR(K152/SUM(K152,K281),0)*'[1]Electricity and CHPs_IN'!G$42</f>
        <v>0.34486941965147577</v>
      </c>
    </row>
    <row r="381" spans="1:15" x14ac:dyDescent="0.25">
      <c r="A381" s="5" t="s">
        <v>5</v>
      </c>
      <c r="B381" s="5" t="str">
        <f t="shared" si="215"/>
        <v>SPS3</v>
      </c>
      <c r="C381" s="5" t="s">
        <v>7</v>
      </c>
      <c r="D381" t="s">
        <v>134</v>
      </c>
      <c r="E381" t="str">
        <f t="shared" si="204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0.60751190850866033</v>
      </c>
      <c r="K381" s="1">
        <f>IFERROR(K153/SUM(K153,K282),0)*'[1]Electricity and CHPs_IN'!G$43</f>
        <v>2.7822067932825756</v>
      </c>
    </row>
    <row r="382" spans="1:15" x14ac:dyDescent="0.25">
      <c r="A382" s="5" t="s">
        <v>5</v>
      </c>
      <c r="B382" s="5" t="str">
        <f t="shared" si="215"/>
        <v>SPS3</v>
      </c>
      <c r="C382" s="5" t="s">
        <v>7</v>
      </c>
      <c r="D382" t="s">
        <v>135</v>
      </c>
      <c r="E382" t="str">
        <f t="shared" si="204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1.7703802836538589E-3</v>
      </c>
      <c r="J382" s="1">
        <f>IFERROR(J154/SUM(J283,J154),0)*'[1]Electricity and CHPs_IN'!F$50</f>
        <v>1.0471540284533753E-3</v>
      </c>
      <c r="K382" s="1">
        <f>IFERROR(K154/SUM(K283,K154),0)*'[1]Electricity and CHPs_IN'!G$50</f>
        <v>5.4404629806789465E-4</v>
      </c>
    </row>
    <row r="383" spans="1:15" x14ac:dyDescent="0.25">
      <c r="A383" s="5" t="s">
        <v>5</v>
      </c>
      <c r="B383" s="5" t="str">
        <f t="shared" si="215"/>
        <v>SPS3</v>
      </c>
      <c r="C383" s="5" t="s">
        <v>7</v>
      </c>
      <c r="D383" t="s">
        <v>136</v>
      </c>
      <c r="E383" t="str">
        <f t="shared" si="204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5.5726310453792643E-3</v>
      </c>
      <c r="J383" s="1">
        <f>IFERROR(J155/SUM(J284,J155),0)*'[1]Electricity and CHPs_IN'!F$53</f>
        <v>2.2819580853457107E-3</v>
      </c>
      <c r="K383" s="1">
        <f>IFERROR(K155/SUM(K284,K155),0)*'[1]Electricity and CHPs_IN'!G$53</f>
        <v>1.2530175584161997E-3</v>
      </c>
    </row>
    <row r="384" spans="1:15" x14ac:dyDescent="0.25">
      <c r="A384" s="5" t="s">
        <v>5</v>
      </c>
      <c r="B384" s="5" t="str">
        <f t="shared" si="215"/>
        <v>SPS3</v>
      </c>
      <c r="C384" s="5" t="s">
        <v>7</v>
      </c>
      <c r="D384" t="s">
        <v>294</v>
      </c>
      <c r="E384" t="str">
        <f t="shared" si="204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7.5500706091348696E-4</v>
      </c>
      <c r="J384" s="1">
        <f>IFERROR(J156/SUM(J285,J156),0)*'[1]Electricity and CHPs_IN'!F$56</f>
        <v>1.6975581102710061E-3</v>
      </c>
      <c r="K384" s="1">
        <f>IFERROR(K156/SUM(K285,K156),0)*'[1]Electricity and CHPs_IN'!G$56</f>
        <v>5.0772933246966633E-4</v>
      </c>
    </row>
    <row r="385" spans="1:11" x14ac:dyDescent="0.25">
      <c r="A385" s="5" t="s">
        <v>5</v>
      </c>
      <c r="B385" s="5" t="str">
        <f t="shared" si="215"/>
        <v>SPS3</v>
      </c>
      <c r="C385" s="5" t="s">
        <v>7</v>
      </c>
      <c r="D385" t="s">
        <v>858</v>
      </c>
      <c r="E385" t="str">
        <f t="shared" si="204"/>
        <v>PJ/yr.</v>
      </c>
      <c r="F385" s="1">
        <f>F386</f>
        <v>0.52400000000000047</v>
      </c>
      <c r="G385" s="1">
        <f t="shared" ref="G385:K385" si="222">G386</f>
        <v>0.54529225122661173</v>
      </c>
      <c r="H385" s="1">
        <f t="shared" si="222"/>
        <v>0.50322602221778379</v>
      </c>
      <c r="I385" s="1">
        <f t="shared" si="222"/>
        <v>1.088219349295845</v>
      </c>
      <c r="J385" s="1">
        <f t="shared" si="222"/>
        <v>3.0600118362774396</v>
      </c>
      <c r="K385" s="1">
        <f t="shared" si="222"/>
        <v>6.1200009293579667</v>
      </c>
    </row>
    <row r="386" spans="1:11" x14ac:dyDescent="0.25">
      <c r="A386" s="5" t="s">
        <v>5</v>
      </c>
      <c r="B386" s="5" t="str">
        <f t="shared" si="215"/>
        <v>SPS3</v>
      </c>
      <c r="C386" s="5" t="s">
        <v>7</v>
      </c>
      <c r="D386" t="s">
        <v>137</v>
      </c>
      <c r="E386" t="str">
        <f t="shared" si="204"/>
        <v>PJ/yr.</v>
      </c>
      <c r="F386" s="1">
        <f>'[1]Electricity and CHPs_IN'!B$33</f>
        <v>0.52400000000000047</v>
      </c>
      <c r="G386" s="1">
        <f>'[1]Electricity and CHPs_IN'!C$33</f>
        <v>0.54529225122661173</v>
      </c>
      <c r="H386" s="1">
        <f>'[1]Electricity and CHPs_IN'!D$33</f>
        <v>0.50322602221778379</v>
      </c>
      <c r="I386" s="1">
        <f>'[1]Electricity and CHPs_IN'!E$33</f>
        <v>1.088219349295845</v>
      </c>
      <c r="J386" s="1">
        <f>'[1]Electricity and CHPs_IN'!F$33</f>
        <v>3.0600118362774396</v>
      </c>
      <c r="K386" s="1">
        <f>'[1]Electricity and CHPs_IN'!G$33</f>
        <v>6.1200009293579667</v>
      </c>
    </row>
    <row r="387" spans="1:11" x14ac:dyDescent="0.25">
      <c r="A387" s="5" t="s">
        <v>5</v>
      </c>
      <c r="B387" s="5" t="str">
        <f t="shared" si="215"/>
        <v>SPS3</v>
      </c>
      <c r="C387" s="5" t="s">
        <v>7</v>
      </c>
      <c r="D387" t="s">
        <v>859</v>
      </c>
      <c r="E387" t="str">
        <f t="shared" si="204"/>
        <v>PJ/yr.</v>
      </c>
      <c r="F387" s="1">
        <f>SUM(F388:F392)</f>
        <v>9.3550000000000111</v>
      </c>
      <c r="G387" s="1">
        <f t="shared" ref="G387:K387" si="223">SUM(G388:G392)</f>
        <v>12.822642872738911</v>
      </c>
      <c r="H387" s="1">
        <f t="shared" si="223"/>
        <v>28.800005409769255</v>
      </c>
      <c r="I387" s="1">
        <f t="shared" si="223"/>
        <v>63.696060402335689</v>
      </c>
      <c r="J387" s="1">
        <f t="shared" si="223"/>
        <v>79.14503454779117</v>
      </c>
      <c r="K387" s="1">
        <f t="shared" si="223"/>
        <v>89.999994941383633</v>
      </c>
    </row>
    <row r="388" spans="1:11" x14ac:dyDescent="0.25">
      <c r="A388" s="5" t="s">
        <v>5</v>
      </c>
      <c r="B388" s="5" t="str">
        <f t="shared" si="215"/>
        <v>SPS3</v>
      </c>
      <c r="C388" s="5" t="s">
        <v>7</v>
      </c>
      <c r="D388" t="s">
        <v>138</v>
      </c>
      <c r="E388" t="str">
        <f t="shared" si="204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0.14079953432808703</v>
      </c>
      <c r="I388" s="1">
        <f>'[1]Electricity and CHPs_IN'!E34</f>
        <v>4.8491659751166152</v>
      </c>
      <c r="J388" s="1">
        <f>'[1]Electricity and CHPs_IN'!F34</f>
        <v>4.8517211651252916</v>
      </c>
      <c r="K388" s="1">
        <f>'[1]Electricity and CHPs_IN'!G34</f>
        <v>4.6390501257709511</v>
      </c>
    </row>
    <row r="389" spans="1:11" x14ac:dyDescent="0.25">
      <c r="A389" s="5" t="s">
        <v>5</v>
      </c>
      <c r="B389" s="5" t="str">
        <f t="shared" si="215"/>
        <v>SPS3</v>
      </c>
      <c r="C389" s="5" t="s">
        <v>7</v>
      </c>
      <c r="D389" t="s">
        <v>139</v>
      </c>
      <c r="E389" t="str">
        <f t="shared" si="204"/>
        <v>PJ/yr.</v>
      </c>
      <c r="F389" s="1">
        <f>'[1]Electricity and CHPs_IN'!B35</f>
        <v>3.517953999707534</v>
      </c>
      <c r="G389" s="1">
        <f>'[1]Electricity and CHPs_IN'!C35</f>
        <v>4.8498359267292228</v>
      </c>
      <c r="H389" s="1">
        <f>'[1]Electricity and CHPs_IN'!D35</f>
        <v>9.5944986244111021</v>
      </c>
      <c r="I389" s="1">
        <f>'[1]Electricity and CHPs_IN'!E35</f>
        <v>17.736887719519139</v>
      </c>
      <c r="J389" s="1">
        <f>'[1]Electricity and CHPs_IN'!F35</f>
        <v>33.151371944662564</v>
      </c>
      <c r="K389" s="1">
        <f>'[1]Electricity and CHPs_IN'!G35</f>
        <v>51.000303784876223</v>
      </c>
    </row>
    <row r="390" spans="1:11" x14ac:dyDescent="0.25">
      <c r="A390" s="5" t="s">
        <v>5</v>
      </c>
      <c r="B390" s="5" t="str">
        <f t="shared" si="215"/>
        <v>SPS3</v>
      </c>
      <c r="C390" s="5" t="s">
        <v>7</v>
      </c>
      <c r="D390" t="s">
        <v>140</v>
      </c>
      <c r="E390" t="str">
        <f t="shared" si="204"/>
        <v>PJ/yr.</v>
      </c>
      <c r="F390" s="1">
        <f>'[1]Electricity and CHPs_IN'!B36</f>
        <v>2.1349390887346629</v>
      </c>
      <c r="G390" s="1">
        <f>'[1]Electricity and CHPs_IN'!C36</f>
        <v>3.3907132089156446</v>
      </c>
      <c r="H390" s="1">
        <f>'[1]Electricity and CHPs_IN'!D36</f>
        <v>8.0482196446336349</v>
      </c>
      <c r="I390" s="1">
        <f>'[1]Electricity and CHPs_IN'!E36</f>
        <v>14.087836436121661</v>
      </c>
      <c r="J390" s="1">
        <f>'[1]Electricity and CHPs_IN'!F36</f>
        <v>11.292613048179998</v>
      </c>
      <c r="K390" s="1">
        <f>'[1]Electricity and CHPs_IN'!G36</f>
        <v>1.3883910430851205</v>
      </c>
    </row>
    <row r="391" spans="1:11" x14ac:dyDescent="0.25">
      <c r="A391" s="5" t="s">
        <v>5</v>
      </c>
      <c r="B391" s="5" t="str">
        <f t="shared" si="215"/>
        <v>SPS3</v>
      </c>
      <c r="C391" s="5" t="s">
        <v>7</v>
      </c>
      <c r="D391" t="s">
        <v>141</v>
      </c>
      <c r="E391" t="str">
        <f t="shared" si="204"/>
        <v>PJ/yr.</v>
      </c>
      <c r="F391" s="1">
        <f>'[1]Electricity and CHPs_IN'!B37</f>
        <v>0.86248322578584768</v>
      </c>
      <c r="G391" s="1">
        <f>'[1]Electricity and CHPs_IN'!C37</f>
        <v>1.2876385226786284</v>
      </c>
      <c r="H391" s="1">
        <f>'[1]Electricity and CHPs_IN'!D37</f>
        <v>4.184099486117959</v>
      </c>
      <c r="I391" s="1">
        <f>'[1]Electricity and CHPs_IN'!E37</f>
        <v>9.1198275356946468</v>
      </c>
      <c r="J391" s="1">
        <f>'[1]Electricity and CHPs_IN'!F37</f>
        <v>10.073996992066899</v>
      </c>
      <c r="K391" s="1">
        <f>'[1]Electricity and CHPs_IN'!G37</f>
        <v>11.127978604662303</v>
      </c>
    </row>
    <row r="392" spans="1:11" x14ac:dyDescent="0.25">
      <c r="A392" s="5" t="s">
        <v>5</v>
      </c>
      <c r="B392" s="5" t="str">
        <f t="shared" si="215"/>
        <v>SPS3</v>
      </c>
      <c r="C392" s="5" t="s">
        <v>7</v>
      </c>
      <c r="D392" t="s">
        <v>142</v>
      </c>
      <c r="E392" t="str">
        <f t="shared" si="204"/>
        <v>PJ/yr.</v>
      </c>
      <c r="F392" s="1">
        <f>'[1]Electricity and CHPs_IN'!B38</f>
        <v>2.8396236857719668</v>
      </c>
      <c r="G392" s="1">
        <f>'[1]Electricity and CHPs_IN'!C38</f>
        <v>3.294455214415414</v>
      </c>
      <c r="H392" s="1">
        <f>'[1]Electricity and CHPs_IN'!D38</f>
        <v>6.8323881202784733</v>
      </c>
      <c r="I392" s="1">
        <f>'[1]Electricity and CHPs_IN'!E38</f>
        <v>17.902342735883629</v>
      </c>
      <c r="J392" s="1">
        <f>'[1]Electricity and CHPs_IN'!F38</f>
        <v>19.775331397756425</v>
      </c>
      <c r="K392" s="1">
        <f>'[1]Electricity and CHPs_IN'!G38</f>
        <v>21.844271382989032</v>
      </c>
    </row>
    <row r="393" spans="1:11" x14ac:dyDescent="0.25">
      <c r="A393" s="5" t="s">
        <v>5</v>
      </c>
      <c r="B393" s="5" t="str">
        <f t="shared" si="215"/>
        <v>SPS3</v>
      </c>
      <c r="C393" s="5" t="s">
        <v>7</v>
      </c>
      <c r="D393" t="s">
        <v>860</v>
      </c>
      <c r="E393" t="str">
        <f t="shared" si="204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tr">
        <f t="shared" si="215"/>
        <v>SPS3</v>
      </c>
      <c r="C394" s="5" t="s">
        <v>7</v>
      </c>
      <c r="D394" t="s">
        <v>143</v>
      </c>
      <c r="E394" t="str">
        <f t="shared" si="204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</v>
      </c>
      <c r="K394" s="1">
        <f>'[1]Electricity and CHPs_IN'!G$32</f>
        <v>0</v>
      </c>
    </row>
    <row r="395" spans="1:11" x14ac:dyDescent="0.25">
      <c r="A395" s="5" t="s">
        <v>5</v>
      </c>
      <c r="B395" s="5" t="str">
        <f t="shared" si="215"/>
        <v>SPS3</v>
      </c>
      <c r="C395" s="5" t="s">
        <v>7</v>
      </c>
      <c r="D395" t="s">
        <v>861</v>
      </c>
      <c r="E395" t="str">
        <f t="shared" si="204"/>
        <v>PJ/yr.</v>
      </c>
      <c r="F395" s="1">
        <f t="shared" ref="F395" si="224">SUM(F396:F398)</f>
        <v>0</v>
      </c>
      <c r="G395" s="1">
        <f t="shared" ref="G395" si="225">SUM(G396:G398)</f>
        <v>0</v>
      </c>
      <c r="H395" s="1">
        <f t="shared" ref="H395" si="226">SUM(H396:H398)</f>
        <v>0</v>
      </c>
      <c r="I395" s="1">
        <f t="shared" ref="I395" si="227">SUM(I396:I398)</f>
        <v>2.2244061865497993</v>
      </c>
      <c r="J395" s="1">
        <f t="shared" ref="J395" si="228">SUM(J396:J398)</f>
        <v>0.10944160844315071</v>
      </c>
      <c r="K395" s="1">
        <f t="shared" ref="K395" si="229">SUM(K396:K398)</f>
        <v>4.5967127033732718</v>
      </c>
    </row>
    <row r="396" spans="1:11" x14ac:dyDescent="0.25">
      <c r="A396" s="5" t="s">
        <v>5</v>
      </c>
      <c r="B396" s="5" t="str">
        <f t="shared" si="215"/>
        <v>SPS3</v>
      </c>
      <c r="C396" s="5" t="s">
        <v>7</v>
      </c>
      <c r="D396" t="s">
        <v>144</v>
      </c>
      <c r="E396" t="str">
        <f t="shared" si="204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1.3007669300634619E-3</v>
      </c>
      <c r="K396" s="1">
        <f>IFERROR(K168/SUM(K168,K207),0)*'[1]Electricity and CHPs_IN'!G$30</f>
        <v>0.20105636570037311</v>
      </c>
    </row>
    <row r="397" spans="1:11" x14ac:dyDescent="0.25">
      <c r="A397" s="5" t="s">
        <v>5</v>
      </c>
      <c r="B397" s="5" t="str">
        <f t="shared" si="215"/>
        <v>SPS3</v>
      </c>
      <c r="C397" s="5" t="s">
        <v>7</v>
      </c>
      <c r="D397" t="s">
        <v>145</v>
      </c>
      <c r="E397" t="str">
        <f t="shared" si="204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2.222833878512561</v>
      </c>
      <c r="J397" s="1">
        <f>IFERROR(J169/SUM(J169,J287),0)*'[1]Electricity and CHPs_IN'!F$46</f>
        <v>0.10712445790982338</v>
      </c>
      <c r="K397" s="1">
        <f>IFERROR(K169/SUM(K169,K287),0)*'[1]Electricity and CHPs_IN'!G$46</f>
        <v>4.3944454639090322</v>
      </c>
    </row>
    <row r="398" spans="1:11" x14ac:dyDescent="0.25">
      <c r="A398" s="5" t="s">
        <v>5</v>
      </c>
      <c r="B398" s="5" t="str">
        <f t="shared" si="215"/>
        <v>SPS3</v>
      </c>
      <c r="C398" s="5" t="s">
        <v>7</v>
      </c>
      <c r="D398" t="s">
        <v>237</v>
      </c>
      <c r="E398" t="str">
        <f t="shared" si="204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1.5723080372381623E-3</v>
      </c>
      <c r="J398" s="1">
        <f>IFERROR(J170/SUM(J170,J288),0)*'[1]Electricity and CHPs_IN'!F$57</f>
        <v>1.0163836032638619E-3</v>
      </c>
      <c r="K398" s="1">
        <f>IFERROR(K170/SUM(K170,K288),0)*'[1]Electricity and CHPs_IN'!G$57</f>
        <v>1.2108737638659422E-3</v>
      </c>
    </row>
    <row r="399" spans="1:11" x14ac:dyDescent="0.25">
      <c r="A399" s="5" t="s">
        <v>5</v>
      </c>
      <c r="B399" s="5" t="str">
        <f t="shared" si="215"/>
        <v>SPS3</v>
      </c>
      <c r="C399" s="5" t="s">
        <v>7</v>
      </c>
      <c r="D399" t="s">
        <v>862</v>
      </c>
      <c r="E399" t="str">
        <f t="shared" si="204"/>
        <v>PJ/yr.</v>
      </c>
      <c r="F399" s="1">
        <f>SUM(F400:F406)</f>
        <v>0.15646250706563666</v>
      </c>
      <c r="G399" s="1">
        <f t="shared" ref="G399:K399" si="230">SUM(G400:G406)</f>
        <v>3.0851710185276222E-2</v>
      </c>
      <c r="H399" s="1">
        <f t="shared" si="230"/>
        <v>0.15678117693662041</v>
      </c>
      <c r="I399" s="1">
        <f t="shared" si="230"/>
        <v>0.64277729860933863</v>
      </c>
      <c r="J399" s="1">
        <f t="shared" si="230"/>
        <v>0.79191496296983377</v>
      </c>
      <c r="K399" s="1">
        <f t="shared" si="230"/>
        <v>0.55485862651267925</v>
      </c>
    </row>
    <row r="400" spans="1:11" x14ac:dyDescent="0.25">
      <c r="A400" s="5" t="s">
        <v>5</v>
      </c>
      <c r="B400" s="5" t="str">
        <f t="shared" si="215"/>
        <v>SPS3</v>
      </c>
      <c r="C400" s="5" t="s">
        <v>7</v>
      </c>
      <c r="D400" t="s">
        <v>146</v>
      </c>
      <c r="E400" t="str">
        <f t="shared" si="204"/>
        <v>PJ/yr.</v>
      </c>
      <c r="F400" s="1">
        <f>'[1]Electricity and CHPs_IN'!B63</f>
        <v>0.13509043615262117</v>
      </c>
      <c r="G400" s="1">
        <f>'[1]Electricity and CHPs_IN'!C63</f>
        <v>1.148431158126932E-2</v>
      </c>
      <c r="H400" s="1">
        <f>'[1]Electricity and CHPs_IN'!D63</f>
        <v>0.13501078197836205</v>
      </c>
      <c r="I400" s="1">
        <f>'[1]Electricity and CHPs_IN'!E63</f>
        <v>0.13500458477342225</v>
      </c>
      <c r="J400" s="1">
        <f>'[1]Electricity and CHPs_IN'!F63</f>
        <v>3.1531910357906257E-2</v>
      </c>
      <c r="K400" s="1">
        <f>'[1]Electricity and CHPs_IN'!G63</f>
        <v>2.291287736018683E-2</v>
      </c>
    </row>
    <row r="401" spans="1:19" x14ac:dyDescent="0.25">
      <c r="A401" s="5" t="s">
        <v>5</v>
      </c>
      <c r="B401" s="5" t="str">
        <f t="shared" si="215"/>
        <v>SPS3</v>
      </c>
      <c r="C401" s="5" t="s">
        <v>7</v>
      </c>
      <c r="D401" t="s">
        <v>147</v>
      </c>
      <c r="E401" t="str">
        <f t="shared" si="204"/>
        <v>PJ/yr.</v>
      </c>
      <c r="F401" s="1">
        <f>'[1]Electricity and CHPs_IN'!B64</f>
        <v>5.7609423260281643E-3</v>
      </c>
      <c r="G401" s="1">
        <f>'[1]Electricity and CHPs_IN'!C64</f>
        <v>4.7632367440234189E-3</v>
      </c>
      <c r="H401" s="1">
        <f>'[1]Electricity and CHPs_IN'!D64</f>
        <v>5.927038508203265E-3</v>
      </c>
      <c r="I401" s="1">
        <f>'[1]Electricity and CHPs_IN'!E64</f>
        <v>7.7842643851357262E-3</v>
      </c>
      <c r="J401" s="1">
        <f>'[1]Electricity and CHPs_IN'!F64</f>
        <v>0.23504873043383431</v>
      </c>
      <c r="K401" s="1">
        <f>'[1]Electricity and CHPs_IN'!G64</f>
        <v>0.26321559319547516</v>
      </c>
    </row>
    <row r="402" spans="1:19" x14ac:dyDescent="0.25">
      <c r="A402" s="5" t="s">
        <v>5</v>
      </c>
      <c r="B402" s="5" t="str">
        <f t="shared" si="215"/>
        <v>SPS3</v>
      </c>
      <c r="C402" s="5" t="s">
        <v>7</v>
      </c>
      <c r="D402" t="s">
        <v>148</v>
      </c>
      <c r="E402" t="str">
        <f t="shared" si="204"/>
        <v>PJ/yr.</v>
      </c>
      <c r="F402" s="1">
        <f>'[1]Electricity and CHPs_IN'!B65</f>
        <v>5.0616770872749326E-3</v>
      </c>
      <c r="G402" s="1">
        <f>'[1]Electricity and CHPs_IN'!C65</f>
        <v>4.1018981688576628E-3</v>
      </c>
      <c r="H402" s="1">
        <f>'[1]Electricity and CHPs_IN'!D65</f>
        <v>5.210323705510468E-3</v>
      </c>
      <c r="I402" s="1">
        <f>'[1]Electricity and CHPs_IN'!E65</f>
        <v>6.5424060716390347E-3</v>
      </c>
      <c r="J402" s="1">
        <f>'[1]Electricity and CHPs_IN'!F65</f>
        <v>2.4489715576449876E-2</v>
      </c>
      <c r="K402" s="1">
        <f>'[1]Electricity and CHPs_IN'!G65</f>
        <v>2.8049456567697847E-2</v>
      </c>
    </row>
    <row r="403" spans="1:19" x14ac:dyDescent="0.25">
      <c r="A403" s="5" t="s">
        <v>5</v>
      </c>
      <c r="B403" s="5" t="str">
        <f t="shared" si="215"/>
        <v>SPS3</v>
      </c>
      <c r="C403" s="5" t="s">
        <v>7</v>
      </c>
      <c r="D403" t="s">
        <v>149</v>
      </c>
      <c r="E403" t="str">
        <f t="shared" si="204"/>
        <v>PJ/yr.</v>
      </c>
      <c r="F403" s="1">
        <f>'[1]Electricity and CHPs_IN'!B66</f>
        <v>1.5840195556036548E-3</v>
      </c>
      <c r="G403" s="1">
        <f>'[1]Electricity and CHPs_IN'!C66</f>
        <v>1.5766233402732671E-3</v>
      </c>
      <c r="H403" s="1">
        <f>'[1]Electricity and CHPs_IN'!D66</f>
        <v>1.6007688691362725E-3</v>
      </c>
      <c r="I403" s="1">
        <f>'[1]Electricity and CHPs_IN'!E66</f>
        <v>4.9152378173836584E-3</v>
      </c>
      <c r="J403" s="1">
        <f>'[1]Electricity and CHPs_IN'!F66</f>
        <v>8.2685879572824989E-3</v>
      </c>
      <c r="K403" s="1">
        <f>'[1]Electricity and CHPs_IN'!G66</f>
        <v>4.5808136774334891E-3</v>
      </c>
    </row>
    <row r="404" spans="1:19" x14ac:dyDescent="0.25">
      <c r="A404" s="5" t="s">
        <v>5</v>
      </c>
      <c r="B404" s="5" t="str">
        <f t="shared" si="215"/>
        <v>SPS3</v>
      </c>
      <c r="C404" s="5" t="s">
        <v>7</v>
      </c>
      <c r="D404" t="s">
        <v>1854</v>
      </c>
      <c r="E404" t="str">
        <f t="shared" si="204"/>
        <v>PJ/yr.</v>
      </c>
      <c r="F404" s="1">
        <f>'[1]Electricity and CHPs_IN'!B67</f>
        <v>3.6860008835897392E-3</v>
      </c>
      <c r="G404" s="1">
        <f>'[1]Electricity and CHPs_IN'!C67</f>
        <v>3.669800208546483E-3</v>
      </c>
      <c r="H404" s="1">
        <f>'[1]Electricity and CHPs_IN'!D67</f>
        <v>3.7109671310474593E-3</v>
      </c>
      <c r="I404" s="1">
        <f>'[1]Electricity and CHPs_IN'!E67</f>
        <v>0.23681911499520317</v>
      </c>
      <c r="J404" s="1">
        <f>'[1]Electricity and CHPs_IN'!F67</f>
        <v>0.24140786996974942</v>
      </c>
      <c r="K404" s="1">
        <f>'[1]Electricity and CHPs_IN'!G67</f>
        <v>0.1159713365484305</v>
      </c>
    </row>
    <row r="405" spans="1:19" x14ac:dyDescent="0.25">
      <c r="A405" s="5" t="s">
        <v>5</v>
      </c>
      <c r="B405" s="5" t="str">
        <f t="shared" si="215"/>
        <v>SPS3</v>
      </c>
      <c r="C405" s="5" t="s">
        <v>7</v>
      </c>
      <c r="D405" t="s">
        <v>150</v>
      </c>
      <c r="E405" t="str">
        <f t="shared" si="204"/>
        <v>PJ/yr.</v>
      </c>
      <c r="F405" s="1">
        <f>'[1]Electricity and CHPs_IN'!B68</f>
        <v>3.6889229344549161E-3</v>
      </c>
      <c r="G405" s="1">
        <f>'[1]Electricity and CHPs_IN'!C68</f>
        <v>3.6726901279429507E-3</v>
      </c>
      <c r="H405" s="1">
        <f>'[1]Electricity and CHPs_IN'!D68</f>
        <v>3.714112605795183E-3</v>
      </c>
      <c r="I405" s="1">
        <f>'[1]Electricity and CHPs_IN'!E68</f>
        <v>0.24680722646240888</v>
      </c>
      <c r="J405" s="1">
        <f>'[1]Electricity and CHPs_IN'!F68</f>
        <v>0.24385656092938074</v>
      </c>
      <c r="K405" s="1">
        <f>'[1]Electricity and CHPs_IN'!G68</f>
        <v>0.11598284289180333</v>
      </c>
    </row>
    <row r="406" spans="1:19" x14ac:dyDescent="0.25">
      <c r="A406" s="5" t="s">
        <v>5</v>
      </c>
      <c r="B406" s="5" t="str">
        <f t="shared" si="215"/>
        <v>SPS3</v>
      </c>
      <c r="C406" s="5" t="s">
        <v>7</v>
      </c>
      <c r="D406" t="s">
        <v>151</v>
      </c>
      <c r="E406" t="str">
        <f t="shared" si="204"/>
        <v>PJ/yr.</v>
      </c>
      <c r="F406" s="1">
        <f>'[1]Electricity and CHPs_IN'!B69</f>
        <v>1.590508126064062E-3</v>
      </c>
      <c r="G406" s="1">
        <f>'[1]Electricity and CHPs_IN'!C69</f>
        <v>1.5831500143631187E-3</v>
      </c>
      <c r="H406" s="1">
        <f>'[1]Electricity and CHPs_IN'!D69</f>
        <v>1.6071841385657275E-3</v>
      </c>
      <c r="I406" s="1">
        <f>'[1]Electricity and CHPs_IN'!E69</f>
        <v>4.9044641041459201E-3</v>
      </c>
      <c r="J406" s="1">
        <f>'[1]Electricity and CHPs_IN'!F69</f>
        <v>7.3115877452306424E-3</v>
      </c>
      <c r="K406" s="1">
        <f>'[1]Electricity and CHPs_IN'!G69</f>
        <v>4.1457062716519959E-3</v>
      </c>
    </row>
    <row r="407" spans="1:19" x14ac:dyDescent="0.25">
      <c r="A407" s="5"/>
      <c r="B407" s="9" t="str">
        <f t="shared" si="215"/>
        <v>SPS3</v>
      </c>
      <c r="C407" s="2" t="str">
        <f t="shared" ref="B407:C407" si="231">C406</f>
        <v>CH</v>
      </c>
      <c r="D407" s="2" t="s">
        <v>190</v>
      </c>
      <c r="E407" s="2" t="str">
        <f>E395</f>
        <v>PJ/yr.</v>
      </c>
      <c r="F407" s="3">
        <f>F408+F461</f>
        <v>55.802132935655074</v>
      </c>
      <c r="G407" s="3">
        <f t="shared" ref="G407:K407" si="232">G408+G461</f>
        <v>55.162877342616092</v>
      </c>
      <c r="H407" s="3">
        <f t="shared" si="232"/>
        <v>57.598269785252626</v>
      </c>
      <c r="I407" s="3">
        <f t="shared" si="232"/>
        <v>69.922639437826675</v>
      </c>
      <c r="J407" s="3">
        <f t="shared" si="232"/>
        <v>69.224834865346423</v>
      </c>
      <c r="K407" s="3">
        <f t="shared" si="232"/>
        <v>69.564063003712036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tr">
        <f t="shared" si="215"/>
        <v>SPS3</v>
      </c>
      <c r="C408" s="5" t="s">
        <v>7</v>
      </c>
      <c r="D408" t="s">
        <v>863</v>
      </c>
      <c r="E408" t="str">
        <f>E396</f>
        <v>PJ/yr.</v>
      </c>
      <c r="F408" s="1">
        <f t="shared" ref="F408:K408" si="233">F409+F438</f>
        <v>47.866433798675331</v>
      </c>
      <c r="G408" s="1">
        <f t="shared" si="233"/>
        <v>46.553021791918304</v>
      </c>
      <c r="H408" s="1">
        <f t="shared" si="233"/>
        <v>47.293130627639684</v>
      </c>
      <c r="I408" s="1">
        <f t="shared" si="233"/>
        <v>58.126986863436102</v>
      </c>
      <c r="J408" s="1">
        <f t="shared" si="233"/>
        <v>54.683608925479376</v>
      </c>
      <c r="K408" s="1">
        <f t="shared" si="233"/>
        <v>46.594342400360283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tr">
        <f t="shared" si="215"/>
        <v>SPS3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39.465410806581673</v>
      </c>
      <c r="G409" s="1">
        <f t="shared" ref="G409:K409" si="234">SUM(G410,G416,G425,G434,G436)</f>
        <v>33.945077703296086</v>
      </c>
      <c r="H409" s="1">
        <f t="shared" si="234"/>
        <v>33.869302664252473</v>
      </c>
      <c r="I409" s="1">
        <f t="shared" si="234"/>
        <v>35.889651711465454</v>
      </c>
      <c r="J409" s="1">
        <f t="shared" si="234"/>
        <v>40.636400502706763</v>
      </c>
      <c r="K409" s="1">
        <f t="shared" si="234"/>
        <v>42.837346981392038</v>
      </c>
    </row>
    <row r="410" spans="1:19" x14ac:dyDescent="0.25">
      <c r="A410" s="5"/>
      <c r="B410" s="5" t="str">
        <f t="shared" si="215"/>
        <v>SPS3</v>
      </c>
      <c r="C410" s="5" t="s">
        <v>7</v>
      </c>
      <c r="D410" t="s">
        <v>865</v>
      </c>
      <c r="E410" t="s">
        <v>8</v>
      </c>
      <c r="F410" s="1">
        <f>F411</f>
        <v>1.9931804758438393E-2</v>
      </c>
      <c r="G410" s="1">
        <f t="shared" ref="G410:K410" si="235">G411</f>
        <v>1.5586654771917122E-3</v>
      </c>
      <c r="H410" s="1">
        <f t="shared" si="235"/>
        <v>9.5998564217702493E-3</v>
      </c>
      <c r="I410" s="1">
        <f t="shared" si="235"/>
        <v>2.2017845678941987E-3</v>
      </c>
      <c r="J410" s="1">
        <f t="shared" si="235"/>
        <v>5.5764075171742932E-3</v>
      </c>
      <c r="K410" s="1">
        <f t="shared" si="235"/>
        <v>3.142344357876639E-5</v>
      </c>
    </row>
    <row r="411" spans="1:19" x14ac:dyDescent="0.25">
      <c r="A411" s="5"/>
      <c r="B411" s="5" t="str">
        <f t="shared" si="215"/>
        <v>SPS3</v>
      </c>
      <c r="C411" s="5" t="s">
        <v>7</v>
      </c>
      <c r="D411" t="s">
        <v>231</v>
      </c>
      <c r="E411" t="s">
        <v>8</v>
      </c>
      <c r="F411" s="1">
        <f>'[1]Electricity and CHPs_IN'!B$28-F298</f>
        <v>1.9931804758438393E-2</v>
      </c>
      <c r="G411" s="1">
        <f>'[1]Electricity and CHPs_IN'!C$28-G298</f>
        <v>1.5586654771917122E-3</v>
      </c>
      <c r="H411" s="1">
        <f>'[1]Electricity and CHPs_IN'!D$28-H298</f>
        <v>9.5998564217702493E-3</v>
      </c>
      <c r="I411" s="1">
        <f>'[1]Electricity and CHPs_IN'!E$28-I298</f>
        <v>2.2017845678941987E-3</v>
      </c>
      <c r="J411" s="1">
        <f>'[1]Electricity and CHPs_IN'!F$28-J298</f>
        <v>5.5764075171742932E-3</v>
      </c>
      <c r="K411" s="1">
        <f>'[1]Electricity and CHPs_IN'!G$28-K298</f>
        <v>3.142344357876639E-5</v>
      </c>
    </row>
    <row r="412" spans="1:19" x14ac:dyDescent="0.25">
      <c r="A412" s="5"/>
      <c r="B412" s="5" t="str">
        <f t="shared" si="215"/>
        <v>SPS3</v>
      </c>
      <c r="C412" s="5" t="s">
        <v>7</v>
      </c>
      <c r="D412" t="s">
        <v>866</v>
      </c>
      <c r="E412" t="s">
        <v>8</v>
      </c>
      <c r="F412" s="1">
        <f>F413</f>
        <v>1.9931804758438393E-2</v>
      </c>
      <c r="G412" s="1">
        <f t="shared" ref="G412:K412" si="236">G413</f>
        <v>1.5586654771917122E-3</v>
      </c>
      <c r="H412" s="1">
        <f t="shared" si="236"/>
        <v>9.5998564217702493E-3</v>
      </c>
      <c r="I412" s="1">
        <f t="shared" si="236"/>
        <v>2.2017845678941987E-3</v>
      </c>
      <c r="J412" s="1">
        <f t="shared" si="236"/>
        <v>5.5764075171742932E-3</v>
      </c>
      <c r="K412" s="1">
        <f t="shared" si="236"/>
        <v>3.142344357876639E-5</v>
      </c>
    </row>
    <row r="413" spans="1:19" x14ac:dyDescent="0.25">
      <c r="A413" s="5"/>
      <c r="B413" s="5" t="str">
        <f t="shared" si="215"/>
        <v>SPS3</v>
      </c>
      <c r="C413" s="5" t="s">
        <v>7</v>
      </c>
      <c r="D413" t="s">
        <v>523</v>
      </c>
      <c r="E413" t="s">
        <v>8</v>
      </c>
      <c r="F413" s="1">
        <f>F411-F415</f>
        <v>1.9931804758438393E-2</v>
      </c>
      <c r="G413" s="1">
        <f t="shared" ref="G413:K413" si="237">G411-G415</f>
        <v>1.5586654771917122E-3</v>
      </c>
      <c r="H413" s="1">
        <f t="shared" si="237"/>
        <v>9.5998564217702493E-3</v>
      </c>
      <c r="I413" s="1">
        <f t="shared" si="237"/>
        <v>2.2017845678941987E-3</v>
      </c>
      <c r="J413" s="1">
        <f t="shared" si="237"/>
        <v>5.5764075171742932E-3</v>
      </c>
      <c r="K413" s="1">
        <f t="shared" si="237"/>
        <v>3.142344357876639E-5</v>
      </c>
    </row>
    <row r="414" spans="1:19" x14ac:dyDescent="0.25">
      <c r="A414" s="5"/>
      <c r="B414" s="5" t="str">
        <f t="shared" si="215"/>
        <v>SPS3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38">G415</f>
        <v>0</v>
      </c>
      <c r="H414" s="1">
        <f t="shared" si="238"/>
        <v>0</v>
      </c>
      <c r="I414" s="1">
        <f t="shared" si="238"/>
        <v>0</v>
      </c>
      <c r="J414" s="1">
        <f t="shared" si="238"/>
        <v>0</v>
      </c>
      <c r="K414" s="1">
        <f t="shared" si="238"/>
        <v>0</v>
      </c>
    </row>
    <row r="415" spans="1:19" x14ac:dyDescent="0.25">
      <c r="A415" s="5"/>
      <c r="B415" s="5" t="str">
        <f t="shared" si="215"/>
        <v>SPS3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39">IFERROR(G306/G298,0)*G411</f>
        <v>0</v>
      </c>
      <c r="H415" s="1">
        <f t="shared" si="239"/>
        <v>0</v>
      </c>
      <c r="I415" s="1">
        <f t="shared" si="239"/>
        <v>0</v>
      </c>
      <c r="J415" s="1">
        <f t="shared" si="239"/>
        <v>0</v>
      </c>
      <c r="K415" s="1">
        <f t="shared" si="239"/>
        <v>0</v>
      </c>
    </row>
    <row r="416" spans="1:19" x14ac:dyDescent="0.25">
      <c r="A416" s="5"/>
      <c r="B416" s="5" t="str">
        <f t="shared" si="215"/>
        <v>SPS3</v>
      </c>
      <c r="C416" s="5" t="s">
        <v>7</v>
      </c>
      <c r="D416" t="s">
        <v>868</v>
      </c>
      <c r="E416" t="s">
        <v>8</v>
      </c>
      <c r="F416" s="1">
        <f>SUM(F417:F418)</f>
        <v>2.3994093392981233</v>
      </c>
      <c r="G416" s="1">
        <f t="shared" ref="G416:K416" si="240">SUM(G417:G418)</f>
        <v>3.1316622233720447E-3</v>
      </c>
      <c r="H416" s="1">
        <f t="shared" si="240"/>
        <v>7.5761189353911601E-3</v>
      </c>
      <c r="I416" s="1">
        <f t="shared" si="240"/>
        <v>3.3013339314864497E-3</v>
      </c>
      <c r="J416" s="1">
        <f t="shared" si="240"/>
        <v>0.77649333591722725</v>
      </c>
      <c r="K416" s="1">
        <f t="shared" si="240"/>
        <v>1.0189864272738283</v>
      </c>
    </row>
    <row r="417" spans="1:11" x14ac:dyDescent="0.25">
      <c r="A417" s="5"/>
      <c r="B417" s="5" t="str">
        <f t="shared" si="215"/>
        <v>SPS3</v>
      </c>
      <c r="C417" s="5" t="s">
        <v>7</v>
      </c>
      <c r="D417" t="s">
        <v>191</v>
      </c>
      <c r="E417" t="s">
        <v>8</v>
      </c>
      <c r="F417" s="1">
        <f>'[1]Electricity and CHPs_IN'!B$24-F312</f>
        <v>2.3994093392981233</v>
      </c>
      <c r="G417" s="1">
        <f>'[1]Electricity and CHPs_IN'!C$24-G312</f>
        <v>3.1316622233720447E-3</v>
      </c>
      <c r="H417" s="1">
        <f>'[1]Electricity and CHPs_IN'!D$24-H312</f>
        <v>7.5761189353911601E-3</v>
      </c>
      <c r="I417" s="1">
        <f>'[1]Electricity and CHPs_IN'!E$24-I312</f>
        <v>3.3013339314864497E-3</v>
      </c>
      <c r="J417" s="1">
        <f>'[1]Electricity and CHPs_IN'!F$24-J312</f>
        <v>0.19172876031847619</v>
      </c>
      <c r="K417" s="1">
        <f>'[1]Electricity and CHPs_IN'!G$24-K312</f>
        <v>1.5637433587097475E-3</v>
      </c>
    </row>
    <row r="418" spans="1:11" x14ac:dyDescent="0.25">
      <c r="A418" s="5"/>
      <c r="B418" s="5" t="str">
        <f t="shared" si="215"/>
        <v>SPS3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0.58476457559875106</v>
      </c>
      <c r="K418" s="1">
        <f>'[1]Electricity and CHPs_IN'!G$29-K313</f>
        <v>1.0174226839151186</v>
      </c>
    </row>
    <row r="419" spans="1:11" x14ac:dyDescent="0.25">
      <c r="A419" s="5"/>
      <c r="B419" s="5" t="str">
        <f t="shared" si="215"/>
        <v>SPS3</v>
      </c>
      <c r="C419" s="5" t="s">
        <v>7</v>
      </c>
      <c r="D419" t="s">
        <v>869</v>
      </c>
      <c r="E419" t="s">
        <v>8</v>
      </c>
      <c r="F419" s="1">
        <f>SUM(F420:F421)</f>
        <v>2.3376011907008158</v>
      </c>
      <c r="G419" s="1">
        <f t="shared" ref="G419:K419" si="241">SUM(G420:G421)</f>
        <v>3.0324951845047245E-3</v>
      </c>
      <c r="H419" s="1">
        <f t="shared" si="241"/>
        <v>6.7445280635309093E-3</v>
      </c>
      <c r="I419" s="1">
        <f t="shared" si="241"/>
        <v>3.3004862557895888E-3</v>
      </c>
      <c r="J419" s="1">
        <f t="shared" si="241"/>
        <v>0.65745725376206132</v>
      </c>
      <c r="K419" s="1">
        <f t="shared" si="241"/>
        <v>0.5634012538298182</v>
      </c>
    </row>
    <row r="420" spans="1:11" x14ac:dyDescent="0.25">
      <c r="A420" s="5"/>
      <c r="B420" s="5" t="str">
        <f t="shared" si="215"/>
        <v>SPS3</v>
      </c>
      <c r="C420" s="5" t="s">
        <v>7</v>
      </c>
      <c r="D420" t="s">
        <v>594</v>
      </c>
      <c r="E420" t="s">
        <v>8</v>
      </c>
      <c r="F420" s="1">
        <f>F417-F423</f>
        <v>2.3376011907008158</v>
      </c>
      <c r="G420" s="1">
        <f t="shared" ref="G420:K420" si="242">G417-G423</f>
        <v>3.0324951845047245E-3</v>
      </c>
      <c r="H420" s="1">
        <f t="shared" si="242"/>
        <v>6.7445280635309093E-3</v>
      </c>
      <c r="I420" s="1">
        <f t="shared" si="242"/>
        <v>3.3004862557895888E-3</v>
      </c>
      <c r="J420" s="1">
        <f t="shared" si="242"/>
        <v>0.16233682685414175</v>
      </c>
      <c r="K420" s="1">
        <f t="shared" si="242"/>
        <v>8.6459931691354225E-4</v>
      </c>
    </row>
    <row r="421" spans="1:11" x14ac:dyDescent="0.25">
      <c r="A421" s="5"/>
      <c r="B421" s="5" t="str">
        <f t="shared" si="215"/>
        <v>SPS3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43">G418-G424</f>
        <v>0</v>
      </c>
      <c r="H421" s="1">
        <f t="shared" si="243"/>
        <v>0</v>
      </c>
      <c r="I421" s="1">
        <f t="shared" si="243"/>
        <v>0</v>
      </c>
      <c r="J421" s="1">
        <f t="shared" si="243"/>
        <v>0.49512042690791958</v>
      </c>
      <c r="K421" s="1">
        <f t="shared" si="243"/>
        <v>0.56253665451290469</v>
      </c>
    </row>
    <row r="422" spans="1:11" x14ac:dyDescent="0.25">
      <c r="A422" s="5"/>
      <c r="B422" s="5" t="str">
        <f t="shared" si="215"/>
        <v>SPS3</v>
      </c>
      <c r="C422" s="5" t="s">
        <v>7</v>
      </c>
      <c r="D422" t="s">
        <v>870</v>
      </c>
      <c r="E422" t="s">
        <v>8</v>
      </c>
      <c r="F422" s="1">
        <f>SUM(F423:F424)</f>
        <v>6.1808148597307523E-2</v>
      </c>
      <c r="G422" s="1">
        <f t="shared" ref="G422:K422" si="244">SUM(G423:G424)</f>
        <v>9.9167038867320421E-5</v>
      </c>
      <c r="H422" s="1">
        <f t="shared" si="244"/>
        <v>8.3159087186025055E-4</v>
      </c>
      <c r="I422" s="1">
        <f t="shared" si="244"/>
        <v>8.4767569686096588E-7</v>
      </c>
      <c r="J422" s="1">
        <f t="shared" si="244"/>
        <v>0.11903608215516592</v>
      </c>
      <c r="K422" s="1">
        <f t="shared" si="244"/>
        <v>0.45558517344401017</v>
      </c>
    </row>
    <row r="423" spans="1:11" x14ac:dyDescent="0.25">
      <c r="A423" s="5"/>
      <c r="B423" s="5" t="str">
        <f t="shared" si="215"/>
        <v>SPS3</v>
      </c>
      <c r="C423" s="5" t="s">
        <v>7</v>
      </c>
      <c r="D423" t="s">
        <v>655</v>
      </c>
      <c r="E423" t="s">
        <v>8</v>
      </c>
      <c r="F423" s="1">
        <f>IFERROR(F344/F312,0)*F417</f>
        <v>6.1808148597307523E-2</v>
      </c>
      <c r="G423" s="1">
        <f t="shared" ref="G423:K423" si="245">IFERROR(G344/G312,0)*G417</f>
        <v>9.9167038867320421E-5</v>
      </c>
      <c r="H423" s="1">
        <f t="shared" si="245"/>
        <v>8.3159087186025055E-4</v>
      </c>
      <c r="I423" s="1">
        <f t="shared" si="245"/>
        <v>8.4767569686096588E-7</v>
      </c>
      <c r="J423" s="1">
        <f t="shared" si="245"/>
        <v>2.9391933464334448E-2</v>
      </c>
      <c r="K423" s="1">
        <f t="shared" si="245"/>
        <v>6.9914404179620524E-4</v>
      </c>
    </row>
    <row r="424" spans="1:11" x14ac:dyDescent="0.25">
      <c r="A424" s="5"/>
      <c r="B424" s="5" t="str">
        <f t="shared" si="215"/>
        <v>SPS3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46">IFERROR(G345/G313,0)*G418</f>
        <v>0</v>
      </c>
      <c r="H424" s="1">
        <f t="shared" si="246"/>
        <v>0</v>
      </c>
      <c r="I424" s="1">
        <f t="shared" si="246"/>
        <v>0</v>
      </c>
      <c r="J424" s="1">
        <f t="shared" si="246"/>
        <v>8.9644148690831468E-2</v>
      </c>
      <c r="K424" s="1">
        <f t="shared" si="246"/>
        <v>0.45488602940221395</v>
      </c>
    </row>
    <row r="425" spans="1:11" x14ac:dyDescent="0.25">
      <c r="A425" s="5"/>
      <c r="B425" s="5" t="str">
        <f t="shared" si="215"/>
        <v>SPS3</v>
      </c>
      <c r="C425" s="5" t="s">
        <v>7</v>
      </c>
      <c r="D425" t="s">
        <v>871</v>
      </c>
      <c r="E425" t="s">
        <v>8</v>
      </c>
      <c r="F425" s="1">
        <f>SUM(F426:F427)</f>
        <v>35.838142964454129</v>
      </c>
      <c r="G425" s="1">
        <f t="shared" ref="G425:K425" si="247">SUM(G426:G427)</f>
        <v>33.79424797202801</v>
      </c>
      <c r="H425" s="1">
        <f t="shared" si="247"/>
        <v>33.829830045458877</v>
      </c>
      <c r="I425" s="1">
        <f t="shared" si="247"/>
        <v>35.787730169274838</v>
      </c>
      <c r="J425" s="1">
        <f t="shared" si="247"/>
        <v>35.13497010366796</v>
      </c>
      <c r="K425" s="1">
        <f t="shared" si="247"/>
        <v>35.742691148811581</v>
      </c>
    </row>
    <row r="426" spans="1:11" x14ac:dyDescent="0.25">
      <c r="A426" s="5"/>
      <c r="B426" s="5" t="str">
        <f t="shared" si="215"/>
        <v>SPS3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35.838142964454129</v>
      </c>
      <c r="G426" s="1">
        <f>'[1]Electricity and CHPs_IN'!C$26-G359</f>
        <v>33.79424797202801</v>
      </c>
      <c r="H426" s="1">
        <f>'[1]Electricity and CHPs_IN'!D$26-H359</f>
        <v>33.829830045458877</v>
      </c>
      <c r="I426" s="1">
        <f>'[1]Electricity and CHPs_IN'!E$26-I359</f>
        <v>35.787730169274838</v>
      </c>
      <c r="J426" s="1">
        <f>'[1]Electricity and CHPs_IN'!F$26-J359</f>
        <v>35.12384379168391</v>
      </c>
      <c r="K426" s="1">
        <f>'[1]Electricity and CHPs_IN'!G$26-K359</f>
        <v>23.898873644626789</v>
      </c>
    </row>
    <row r="427" spans="1:11" x14ac:dyDescent="0.25">
      <c r="A427" s="5"/>
      <c r="B427" s="5" t="str">
        <f t="shared" si="215"/>
        <v>SPS3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1.1126311984048785E-2</v>
      </c>
      <c r="K427" s="1">
        <f>'[1]Electricity and CHPs_IN'!G$27-K360</f>
        <v>11.84381750418479</v>
      </c>
    </row>
    <row r="428" spans="1:11" x14ac:dyDescent="0.25">
      <c r="A428" s="5"/>
      <c r="B428" s="5" t="str">
        <f t="shared" si="215"/>
        <v>SPS3</v>
      </c>
      <c r="C428" s="5" t="s">
        <v>7</v>
      </c>
      <c r="D428" t="s">
        <v>872</v>
      </c>
      <c r="E428" t="s">
        <v>8</v>
      </c>
      <c r="F428" s="1">
        <f>SUM(F429:F430)</f>
        <v>17.919071482227064</v>
      </c>
      <c r="G428" s="1">
        <f t="shared" ref="G428:K428" si="248">SUM(G429:G430)</f>
        <v>16.897123986014005</v>
      </c>
      <c r="H428" s="1">
        <f t="shared" si="248"/>
        <v>16.914915022729438</v>
      </c>
      <c r="I428" s="1">
        <f t="shared" si="248"/>
        <v>17.893865084637422</v>
      </c>
      <c r="J428" s="1">
        <f t="shared" si="248"/>
        <v>17.56748505183398</v>
      </c>
      <c r="K428" s="1">
        <f t="shared" si="248"/>
        <v>17.871345574405787</v>
      </c>
    </row>
    <row r="429" spans="1:11" x14ac:dyDescent="0.25">
      <c r="A429" s="5"/>
      <c r="B429" s="5" t="str">
        <f t="shared" si="215"/>
        <v>SPS3</v>
      </c>
      <c r="C429" s="5" t="s">
        <v>7</v>
      </c>
      <c r="D429" t="s">
        <v>195</v>
      </c>
      <c r="E429" t="s">
        <v>8</v>
      </c>
      <c r="F429" s="1">
        <f>IFERROR(F366/F359,0)*F426</f>
        <v>17.919071482227064</v>
      </c>
      <c r="G429" s="1">
        <f t="shared" ref="G429:K429" si="249">IFERROR(G366/G359,0)*G426</f>
        <v>16.897123986014005</v>
      </c>
      <c r="H429" s="1">
        <f t="shared" si="249"/>
        <v>16.914915022729438</v>
      </c>
      <c r="I429" s="1">
        <f t="shared" si="249"/>
        <v>17.893865084637422</v>
      </c>
      <c r="J429" s="1">
        <f t="shared" si="249"/>
        <v>17.561921895841955</v>
      </c>
      <c r="K429" s="1">
        <f t="shared" si="249"/>
        <v>11.949436822313393</v>
      </c>
    </row>
    <row r="430" spans="1:11" x14ac:dyDescent="0.25">
      <c r="A430" s="5"/>
      <c r="B430" s="5" t="str">
        <f t="shared" si="215"/>
        <v>SPS3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0">IFERROR(G367/G360,0)*G427</f>
        <v>0</v>
      </c>
      <c r="H430" s="1">
        <f t="shared" si="250"/>
        <v>0</v>
      </c>
      <c r="I430" s="1">
        <f t="shared" si="250"/>
        <v>0</v>
      </c>
      <c r="J430" s="1">
        <f t="shared" si="250"/>
        <v>5.5631559920243925E-3</v>
      </c>
      <c r="K430" s="1">
        <f t="shared" si="250"/>
        <v>5.9219087520923948</v>
      </c>
    </row>
    <row r="431" spans="1:11" x14ac:dyDescent="0.25">
      <c r="A431" s="5"/>
      <c r="B431" s="5" t="str">
        <f t="shared" si="215"/>
        <v>SPS3</v>
      </c>
      <c r="C431" s="5" t="s">
        <v>7</v>
      </c>
      <c r="D431" t="s">
        <v>873</v>
      </c>
      <c r="E431" t="s">
        <v>8</v>
      </c>
      <c r="F431" s="1">
        <f>SUM(F432:F433)</f>
        <v>17.919071482227064</v>
      </c>
      <c r="G431" s="1">
        <f t="shared" ref="G431:K431" si="251">SUM(G432:G433)</f>
        <v>16.897123986014005</v>
      </c>
      <c r="H431" s="1">
        <f t="shared" si="251"/>
        <v>16.914915022729438</v>
      </c>
      <c r="I431" s="1">
        <f t="shared" si="251"/>
        <v>17.893865084637415</v>
      </c>
      <c r="J431" s="1">
        <f t="shared" si="251"/>
        <v>17.56748505183398</v>
      </c>
      <c r="K431" s="1">
        <f t="shared" si="251"/>
        <v>17.87134557440579</v>
      </c>
    </row>
    <row r="432" spans="1:11" x14ac:dyDescent="0.25">
      <c r="A432" s="5"/>
      <c r="B432" s="5" t="str">
        <f t="shared" si="215"/>
        <v>SPS3</v>
      </c>
      <c r="C432" s="5" t="s">
        <v>7</v>
      </c>
      <c r="D432" t="s">
        <v>197</v>
      </c>
      <c r="E432" t="s">
        <v>8</v>
      </c>
      <c r="F432" s="1">
        <f>F426-F429</f>
        <v>17.919071482227064</v>
      </c>
      <c r="G432" s="1">
        <f t="shared" ref="G432:K432" si="252">G426-G429</f>
        <v>16.897123986014005</v>
      </c>
      <c r="H432" s="1">
        <f t="shared" si="252"/>
        <v>16.914915022729438</v>
      </c>
      <c r="I432" s="1">
        <f t="shared" si="252"/>
        <v>17.893865084637415</v>
      </c>
      <c r="J432" s="1">
        <f t="shared" si="252"/>
        <v>17.561921895841955</v>
      </c>
      <c r="K432" s="1">
        <f t="shared" si="252"/>
        <v>11.949436822313396</v>
      </c>
    </row>
    <row r="433" spans="1:11" x14ac:dyDescent="0.25">
      <c r="A433" s="5"/>
      <c r="B433" s="5" t="str">
        <f t="shared" si="215"/>
        <v>SPS3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53">G427-G430</f>
        <v>0</v>
      </c>
      <c r="H433" s="1">
        <f t="shared" si="253"/>
        <v>0</v>
      </c>
      <c r="I433" s="1">
        <f t="shared" si="253"/>
        <v>0</v>
      </c>
      <c r="J433" s="1">
        <f t="shared" si="253"/>
        <v>5.5631559920243925E-3</v>
      </c>
      <c r="K433" s="1">
        <f t="shared" si="253"/>
        <v>5.9219087520923948</v>
      </c>
    </row>
    <row r="434" spans="1:11" x14ac:dyDescent="0.25">
      <c r="A434" s="5"/>
      <c r="B434" s="5" t="str">
        <f t="shared" si="215"/>
        <v>SPS3</v>
      </c>
      <c r="C434" s="5" t="s">
        <v>7</v>
      </c>
      <c r="D434" t="s">
        <v>874</v>
      </c>
      <c r="E434" t="s">
        <v>8</v>
      </c>
      <c r="F434" s="1">
        <f>F435</f>
        <v>1.2079266980709851</v>
      </c>
      <c r="G434" s="1">
        <f t="shared" ref="G434:K434" si="254">G435</f>
        <v>0.14613940356750782</v>
      </c>
      <c r="H434" s="1">
        <f t="shared" si="254"/>
        <v>2.2296643436434546E-2</v>
      </c>
      <c r="I434" s="1">
        <f t="shared" si="254"/>
        <v>9.641842369123628E-2</v>
      </c>
      <c r="J434" s="1">
        <f t="shared" si="254"/>
        <v>4.7177811529036147</v>
      </c>
      <c r="K434" s="1">
        <f t="shared" si="254"/>
        <v>5.8219239965744922</v>
      </c>
    </row>
    <row r="435" spans="1:11" x14ac:dyDescent="0.25">
      <c r="A435" s="5"/>
      <c r="B435" s="5" t="str">
        <f t="shared" si="215"/>
        <v>SPS3</v>
      </c>
      <c r="C435" s="5" t="s">
        <v>7</v>
      </c>
      <c r="D435" t="s">
        <v>199</v>
      </c>
      <c r="E435" t="s">
        <v>8</v>
      </c>
      <c r="F435" s="1">
        <f>'[1]Electricity and CHPs_IN'!B$25-F378</f>
        <v>1.2079266980709851</v>
      </c>
      <c r="G435" s="1">
        <f>'[1]Electricity and CHPs_IN'!C$25-G378</f>
        <v>0.14613940356750782</v>
      </c>
      <c r="H435" s="1">
        <f>'[1]Electricity and CHPs_IN'!D$25-H378</f>
        <v>2.2296643436434546E-2</v>
      </c>
      <c r="I435" s="1">
        <f>'[1]Electricity and CHPs_IN'!E$25-I378</f>
        <v>9.641842369123628E-2</v>
      </c>
      <c r="J435" s="1">
        <f>'[1]Electricity and CHPs_IN'!F$25-J378</f>
        <v>4.7177811529036147</v>
      </c>
      <c r="K435" s="1">
        <f>'[1]Electricity and CHPs_IN'!G$25-K378</f>
        <v>5.8219239965744922</v>
      </c>
    </row>
    <row r="436" spans="1:11" x14ac:dyDescent="0.25">
      <c r="A436" s="5"/>
      <c r="B436" s="5" t="str">
        <f t="shared" ref="B436:B499" si="255">B435</f>
        <v>SPS3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56">+G437</f>
        <v>0</v>
      </c>
      <c r="H436" s="1">
        <f t="shared" si="256"/>
        <v>0</v>
      </c>
      <c r="I436" s="1">
        <f t="shared" si="256"/>
        <v>0</v>
      </c>
      <c r="J436" s="1">
        <f t="shared" si="256"/>
        <v>1.5795027007913397E-3</v>
      </c>
      <c r="K436" s="1">
        <f t="shared" si="256"/>
        <v>0.25371398528856565</v>
      </c>
    </row>
    <row r="437" spans="1:11" x14ac:dyDescent="0.25">
      <c r="A437" s="5"/>
      <c r="B437" s="5" t="str">
        <f t="shared" si="255"/>
        <v>SPS3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1.5795027007913397E-3</v>
      </c>
      <c r="K437" s="1">
        <f>'[1]Electricity and CHPs_IN'!G$30-K396</f>
        <v>0.25371398528856565</v>
      </c>
    </row>
    <row r="438" spans="1:11" x14ac:dyDescent="0.25">
      <c r="A438" s="5"/>
      <c r="B438" s="5" t="str">
        <f t="shared" si="255"/>
        <v>SPS3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8.4010229920936546</v>
      </c>
      <c r="G438" s="1">
        <f t="shared" ref="G438:K438" si="257">SUM(G439,G445,G447,G453,G455,G457,G459)</f>
        <v>12.607944088622217</v>
      </c>
      <c r="H438" s="1">
        <f t="shared" si="257"/>
        <v>13.423827963387211</v>
      </c>
      <c r="I438" s="1">
        <f t="shared" si="257"/>
        <v>22.237335151970647</v>
      </c>
      <c r="J438" s="1">
        <f t="shared" si="257"/>
        <v>14.047208422772616</v>
      </c>
      <c r="K438" s="1">
        <f t="shared" si="257"/>
        <v>3.7569954189682466</v>
      </c>
    </row>
    <row r="439" spans="1:11" x14ac:dyDescent="0.25">
      <c r="A439" s="5"/>
      <c r="B439" s="5" t="str">
        <f t="shared" si="255"/>
        <v>SPS3</v>
      </c>
      <c r="C439" s="5" t="s">
        <v>7</v>
      </c>
      <c r="D439" t="s">
        <v>877</v>
      </c>
      <c r="E439" t="str">
        <f>E396</f>
        <v>PJ/yr.</v>
      </c>
      <c r="F439" s="1">
        <f>+F440</f>
        <v>4.3959835463432899</v>
      </c>
      <c r="G439" s="1">
        <f t="shared" ref="G439:K439" si="258">+G440</f>
        <v>1.7531888219555458</v>
      </c>
      <c r="H439" s="1">
        <f t="shared" si="258"/>
        <v>6.9985273076429779</v>
      </c>
      <c r="I439" s="1">
        <f t="shared" si="258"/>
        <v>13.009875721871326</v>
      </c>
      <c r="J439" s="1">
        <f t="shared" si="258"/>
        <v>8.7132436047050259</v>
      </c>
      <c r="K439" s="1">
        <f t="shared" si="258"/>
        <v>8.5851824604976396E-2</v>
      </c>
    </row>
    <row r="440" spans="1:11" x14ac:dyDescent="0.25">
      <c r="A440" s="5"/>
      <c r="B440" s="5" t="str">
        <f t="shared" si="255"/>
        <v>SPS3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4.3959835463432899</v>
      </c>
      <c r="G440" s="1">
        <f t="shared" ref="G440:K440" si="259">SUM(G442:G444)</f>
        <v>1.7531888219555458</v>
      </c>
      <c r="H440" s="1">
        <f t="shared" si="259"/>
        <v>6.9985273076429779</v>
      </c>
      <c r="I440" s="1">
        <f t="shared" si="259"/>
        <v>13.009875721871326</v>
      </c>
      <c r="J440" s="1">
        <f t="shared" si="259"/>
        <v>8.7132436047050259</v>
      </c>
      <c r="K440" s="1">
        <f t="shared" si="259"/>
        <v>8.5851824604976396E-2</v>
      </c>
    </row>
    <row r="441" spans="1:11" x14ac:dyDescent="0.25">
      <c r="A441" s="5"/>
      <c r="B441" s="5" t="str">
        <f t="shared" si="255"/>
        <v>SPS3</v>
      </c>
      <c r="C441" s="5" t="s">
        <v>7</v>
      </c>
      <c r="D441" t="s">
        <v>878</v>
      </c>
      <c r="E441" t="str">
        <f>E396</f>
        <v>PJ/yr.</v>
      </c>
      <c r="F441" s="1">
        <f>F442</f>
        <v>2.0280779083423366</v>
      </c>
      <c r="G441" s="1">
        <f t="shared" ref="G441:K441" si="260">G442</f>
        <v>0.95979385536198147</v>
      </c>
      <c r="H441" s="1">
        <f t="shared" si="260"/>
        <v>6.9932120680800436</v>
      </c>
      <c r="I441" s="1">
        <f t="shared" si="260"/>
        <v>6.9609176383168023</v>
      </c>
      <c r="J441" s="1">
        <f t="shared" si="260"/>
        <v>1.9327752157543774</v>
      </c>
      <c r="K441" s="1">
        <f t="shared" si="260"/>
        <v>1.4964513213086569E-4</v>
      </c>
    </row>
    <row r="442" spans="1:11" x14ac:dyDescent="0.25">
      <c r="A442" s="5"/>
      <c r="B442" s="5" t="str">
        <f t="shared" si="255"/>
        <v>SPS3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2.0280779083423366</v>
      </c>
      <c r="G442" s="1">
        <f>'[1]Electricity and CHPs_IN'!C$90</f>
        <v>0.95979385536198147</v>
      </c>
      <c r="H442" s="1">
        <f>'[1]Electricity and CHPs_IN'!D$90</f>
        <v>6.9932120680800436</v>
      </c>
      <c r="I442" s="1">
        <f>'[1]Electricity and CHPs_IN'!E$90</f>
        <v>6.9609176383168023</v>
      </c>
      <c r="J442" s="1">
        <f>'[1]Electricity and CHPs_IN'!F$90</f>
        <v>1.9327752157543774</v>
      </c>
      <c r="K442" s="1">
        <f>'[1]Electricity and CHPs_IN'!G$90</f>
        <v>1.4964513213086569E-4</v>
      </c>
    </row>
    <row r="443" spans="1:11" x14ac:dyDescent="0.25">
      <c r="A443" s="5"/>
      <c r="B443" s="5" t="str">
        <f t="shared" si="255"/>
        <v>SPS3</v>
      </c>
      <c r="C443" s="5" t="s">
        <v>7</v>
      </c>
      <c r="D443" t="s">
        <v>879</v>
      </c>
      <c r="E443" t="str">
        <f>E397</f>
        <v>PJ/yr.</v>
      </c>
      <c r="F443" s="1">
        <f>F444</f>
        <v>1.1839528190004767</v>
      </c>
      <c r="G443" s="1">
        <f t="shared" ref="G443:K443" si="261">G444</f>
        <v>0.39669748329678217</v>
      </c>
      <c r="H443" s="1">
        <f t="shared" si="261"/>
        <v>2.6576197814669796E-3</v>
      </c>
      <c r="I443" s="1">
        <f t="shared" si="261"/>
        <v>3.024479041777262</v>
      </c>
      <c r="J443" s="1">
        <f t="shared" si="261"/>
        <v>3.3902341944753243</v>
      </c>
      <c r="K443" s="1">
        <f t="shared" si="261"/>
        <v>4.2851089736422765E-2</v>
      </c>
    </row>
    <row r="444" spans="1:11" x14ac:dyDescent="0.25">
      <c r="A444" s="5"/>
      <c r="B444" s="5" t="str">
        <f t="shared" si="255"/>
        <v>SPS3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1.1839528190004767</v>
      </c>
      <c r="G444" s="1">
        <f>'[1]Electricity and CHPs_IN'!C$91</f>
        <v>0.39669748329678217</v>
      </c>
      <c r="H444" s="1">
        <f>'[1]Electricity and CHPs_IN'!D$91</f>
        <v>2.6576197814669796E-3</v>
      </c>
      <c r="I444" s="1">
        <f>'[1]Electricity and CHPs_IN'!E$91</f>
        <v>3.024479041777262</v>
      </c>
      <c r="J444" s="1">
        <f>'[1]Electricity and CHPs_IN'!F$91</f>
        <v>3.3902341944753243</v>
      </c>
      <c r="K444" s="1">
        <f>'[1]Electricity and CHPs_IN'!G$91</f>
        <v>4.2851089736422765E-2</v>
      </c>
    </row>
    <row r="445" spans="1:11" x14ac:dyDescent="0.25">
      <c r="A445" s="5"/>
      <c r="B445" s="5" t="str">
        <f t="shared" si="255"/>
        <v>SPS3</v>
      </c>
      <c r="C445" s="5" t="s">
        <v>7</v>
      </c>
      <c r="D445" t="s">
        <v>880</v>
      </c>
      <c r="E445" t="str">
        <f>E398</f>
        <v>PJ/yr.</v>
      </c>
      <c r="F445" s="1">
        <f>F446</f>
        <v>1.4500056911925576</v>
      </c>
      <c r="G445" s="1">
        <f t="shared" ref="G445:K445" si="262">G446</f>
        <v>3.8016676618055705</v>
      </c>
      <c r="H445" s="1">
        <f t="shared" si="262"/>
        <v>3.8003323235392847</v>
      </c>
      <c r="I445" s="1">
        <f t="shared" si="262"/>
        <v>1.0357994872748932</v>
      </c>
      <c r="J445" s="1">
        <f t="shared" si="262"/>
        <v>0</v>
      </c>
      <c r="K445" s="1">
        <f t="shared" si="262"/>
        <v>0</v>
      </c>
    </row>
    <row r="446" spans="1:11" x14ac:dyDescent="0.25">
      <c r="A446" s="5"/>
      <c r="B446" s="5" t="str">
        <f t="shared" si="255"/>
        <v>SPS3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1.4500056911925576</v>
      </c>
      <c r="G446" s="1">
        <f>'[1]Electricity and CHPs_IN'!C$92</f>
        <v>3.8016676618055705</v>
      </c>
      <c r="H446" s="1">
        <f>'[1]Electricity and CHPs_IN'!D$92</f>
        <v>3.8003323235392847</v>
      </c>
      <c r="I446" s="1">
        <f>'[1]Electricity and CHPs_IN'!E$92</f>
        <v>1.0357994872748932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tr">
        <f t="shared" si="255"/>
        <v>SPS3</v>
      </c>
      <c r="C447" s="5" t="s">
        <v>7</v>
      </c>
      <c r="D447" t="s">
        <v>881</v>
      </c>
      <c r="E447" t="str">
        <f>E399</f>
        <v>PJ/yr.</v>
      </c>
      <c r="F447" s="1">
        <f>F448</f>
        <v>0.21542555863601137</v>
      </c>
      <c r="G447" s="1">
        <f t="shared" ref="G447:K447" si="263">G448</f>
        <v>4.1532988768480452</v>
      </c>
      <c r="H447" s="1">
        <f t="shared" si="263"/>
        <v>2.4407522965324783E-3</v>
      </c>
      <c r="I447" s="1">
        <f t="shared" si="263"/>
        <v>7.3873368576598299E-3</v>
      </c>
      <c r="J447" s="1">
        <f t="shared" si="263"/>
        <v>4.5811214640236652E-4</v>
      </c>
      <c r="K447" s="1">
        <f t="shared" si="263"/>
        <v>0</v>
      </c>
    </row>
    <row r="448" spans="1:11" x14ac:dyDescent="0.25">
      <c r="A448" s="5"/>
      <c r="B448" s="5" t="str">
        <f t="shared" si="255"/>
        <v>SPS3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0.21542555863601137</v>
      </c>
      <c r="G448" s="1">
        <f>'[1]Electricity and CHPs_IN'!C$93</f>
        <v>4.1532988768480452</v>
      </c>
      <c r="H448" s="1">
        <f>'[1]Electricity and CHPs_IN'!D$93</f>
        <v>2.4407522965324783E-3</v>
      </c>
      <c r="I448" s="1">
        <f>'[1]Electricity and CHPs_IN'!E$93</f>
        <v>7.3873368576598299E-3</v>
      </c>
      <c r="J448" s="1">
        <f>'[1]Electricity and CHPs_IN'!F$93</f>
        <v>4.5811214640236652E-4</v>
      </c>
      <c r="K448" s="1">
        <f>'[1]Electricity and CHPs_IN'!G$93</f>
        <v>0</v>
      </c>
    </row>
    <row r="449" spans="1:11" x14ac:dyDescent="0.25">
      <c r="A449" s="5"/>
      <c r="B449" s="5" t="str">
        <f t="shared" si="255"/>
        <v>SPS3</v>
      </c>
      <c r="C449" s="5" t="s">
        <v>7</v>
      </c>
      <c r="D449" t="s">
        <v>883</v>
      </c>
      <c r="E449" t="str">
        <f>E399</f>
        <v>PJ/yr.</v>
      </c>
      <c r="F449" s="1">
        <f>F450</f>
        <v>0.21542555863601137</v>
      </c>
      <c r="G449" s="1">
        <f t="shared" ref="G449:K449" si="264">G450</f>
        <v>4.1532988768480452</v>
      </c>
      <c r="H449" s="1">
        <f t="shared" si="264"/>
        <v>2.4407522965324783E-3</v>
      </c>
      <c r="I449" s="1">
        <f t="shared" si="264"/>
        <v>7.3873368576598299E-3</v>
      </c>
      <c r="J449" s="1">
        <f t="shared" si="264"/>
        <v>4.5811214640236652E-4</v>
      </c>
      <c r="K449" s="1">
        <f t="shared" si="264"/>
        <v>0</v>
      </c>
    </row>
    <row r="450" spans="1:11" x14ac:dyDescent="0.25">
      <c r="A450" s="5"/>
      <c r="B450" s="5" t="str">
        <f t="shared" si="255"/>
        <v>SPS3</v>
      </c>
      <c r="C450" s="5" t="s">
        <v>7</v>
      </c>
      <c r="D450" t="s">
        <v>882</v>
      </c>
      <c r="E450" t="str">
        <f>E400</f>
        <v>PJ/yr.</v>
      </c>
      <c r="F450" s="1">
        <f>F448</f>
        <v>0.21542555863601137</v>
      </c>
      <c r="G450" s="1">
        <f t="shared" ref="G450:K450" si="265">G448</f>
        <v>4.1532988768480452</v>
      </c>
      <c r="H450" s="1">
        <f t="shared" si="265"/>
        <v>2.4407522965324783E-3</v>
      </c>
      <c r="I450" s="1">
        <f t="shared" si="265"/>
        <v>7.3873368576598299E-3</v>
      </c>
      <c r="J450" s="1">
        <f t="shared" si="265"/>
        <v>4.5811214640236652E-4</v>
      </c>
      <c r="K450" s="1">
        <f t="shared" si="265"/>
        <v>0</v>
      </c>
    </row>
    <row r="451" spans="1:11" x14ac:dyDescent="0.25">
      <c r="A451" s="5"/>
      <c r="B451" s="5" t="str">
        <f t="shared" si="255"/>
        <v>SPS3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66">G452</f>
        <v>0</v>
      </c>
      <c r="H451" s="1">
        <f t="shared" si="266"/>
        <v>0</v>
      </c>
      <c r="I451" s="1">
        <f t="shared" si="266"/>
        <v>0</v>
      </c>
      <c r="J451" s="1">
        <f t="shared" si="266"/>
        <v>0</v>
      </c>
      <c r="K451" s="1">
        <f t="shared" si="266"/>
        <v>0</v>
      </c>
    </row>
    <row r="452" spans="1:11" x14ac:dyDescent="0.25">
      <c r="A452" s="5"/>
      <c r="B452" s="5" t="str">
        <f t="shared" si="255"/>
        <v>SPS3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tr">
        <f t="shared" si="255"/>
        <v>SPS3</v>
      </c>
      <c r="C453" s="5" t="s">
        <v>7</v>
      </c>
      <c r="D453" t="s">
        <v>886</v>
      </c>
      <c r="E453" t="str">
        <f>E400</f>
        <v>PJ/yr.</v>
      </c>
      <c r="F453" s="1">
        <f>F454</f>
        <v>2.3396081959217958</v>
      </c>
      <c r="G453" s="1">
        <f t="shared" ref="G453:K453" si="267">G454</f>
        <v>2.1114974696711823</v>
      </c>
      <c r="H453" s="1">
        <f t="shared" si="267"/>
        <v>1.8103498931710582</v>
      </c>
      <c r="I453" s="1">
        <f t="shared" si="267"/>
        <v>7.3302954725888156</v>
      </c>
      <c r="J453" s="1">
        <f t="shared" si="267"/>
        <v>4.3889699833857083</v>
      </c>
      <c r="K453" s="1">
        <f t="shared" si="267"/>
        <v>2.627839445403465</v>
      </c>
    </row>
    <row r="454" spans="1:11" x14ac:dyDescent="0.25">
      <c r="A454" s="5"/>
      <c r="B454" s="5" t="str">
        <f t="shared" si="255"/>
        <v>SPS3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2.3396081959217958</v>
      </c>
      <c r="G454" s="1">
        <f>'[1]Electricity and CHPs_IN'!C$94</f>
        <v>2.1114974696711823</v>
      </c>
      <c r="H454" s="1">
        <f>'[1]Electricity and CHPs_IN'!D$94</f>
        <v>1.8103498931710582</v>
      </c>
      <c r="I454" s="1">
        <f>'[1]Electricity and CHPs_IN'!E$94</f>
        <v>7.3302954725888156</v>
      </c>
      <c r="J454" s="1">
        <f>'[1]Electricity and CHPs_IN'!F$94</f>
        <v>4.3889699833857083</v>
      </c>
      <c r="K454" s="1">
        <f>'[1]Electricity and CHPs_IN'!G$94</f>
        <v>2.627839445403465</v>
      </c>
    </row>
    <row r="455" spans="1:11" x14ac:dyDescent="0.25">
      <c r="A455" s="5"/>
      <c r="B455" s="5" t="str">
        <f t="shared" si="255"/>
        <v>SPS3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68">G456</f>
        <v>0</v>
      </c>
      <c r="H455" s="1">
        <f t="shared" si="268"/>
        <v>0</v>
      </c>
      <c r="I455" s="1">
        <f t="shared" si="268"/>
        <v>3.701272732309313E-4</v>
      </c>
      <c r="J455" s="1">
        <f t="shared" si="268"/>
        <v>3.6993767420699544E-4</v>
      </c>
      <c r="K455" s="1">
        <f t="shared" si="268"/>
        <v>3.7027152265877193E-4</v>
      </c>
    </row>
    <row r="456" spans="1:11" x14ac:dyDescent="0.25">
      <c r="A456" s="5"/>
      <c r="B456" s="5" t="str">
        <f t="shared" si="255"/>
        <v>SPS3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3.701272732309313E-4</v>
      </c>
      <c r="J456" s="1">
        <f>'[1]Electricity and CHPs_IN'!F$95</f>
        <v>3.6993767420699544E-4</v>
      </c>
      <c r="K456" s="1">
        <f>'[1]Electricity and CHPs_IN'!G$95</f>
        <v>3.7027152265877193E-4</v>
      </c>
    </row>
    <row r="457" spans="1:11" x14ac:dyDescent="0.25">
      <c r="A457" s="5"/>
      <c r="B457" s="5" t="str">
        <f t="shared" si="255"/>
        <v>SPS3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69">G458</f>
        <v>0</v>
      </c>
      <c r="H457" s="1">
        <f t="shared" si="269"/>
        <v>0</v>
      </c>
      <c r="I457" s="1">
        <f t="shared" si="269"/>
        <v>0</v>
      </c>
      <c r="J457" s="1">
        <f t="shared" si="269"/>
        <v>1.2530926930719329E-3</v>
      </c>
      <c r="K457" s="1">
        <f t="shared" si="269"/>
        <v>1.3710859170397679E-3</v>
      </c>
    </row>
    <row r="458" spans="1:11" x14ac:dyDescent="0.25">
      <c r="A458" s="5"/>
      <c r="B458" s="5" t="str">
        <f t="shared" si="255"/>
        <v>SPS3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1.2530926930719329E-3</v>
      </c>
      <c r="K458" s="1">
        <f>'[1]Electricity and CHPs_IN'!G$96</f>
        <v>1.3710859170397679E-3</v>
      </c>
    </row>
    <row r="459" spans="1:11" x14ac:dyDescent="0.25">
      <c r="A459" s="5"/>
      <c r="B459" s="5" t="str">
        <f t="shared" si="255"/>
        <v>SPS3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0">G460</f>
        <v>0.78829125834187341</v>
      </c>
      <c r="H459" s="1">
        <f>H460</f>
        <v>0.81217768673735924</v>
      </c>
      <c r="I459" s="1">
        <f t="shared" ref="I459" si="271">I460</f>
        <v>0.85360700610472195</v>
      </c>
      <c r="J459" s="1">
        <f t="shared" ref="J459" si="272">J460</f>
        <v>0.94291369216820087</v>
      </c>
      <c r="K459" s="1">
        <f t="shared" ref="K459" si="273">K460</f>
        <v>1.0415627915201064</v>
      </c>
    </row>
    <row r="460" spans="1:11" x14ac:dyDescent="0.25">
      <c r="A460" s="5"/>
      <c r="B460" s="5" t="str">
        <f t="shared" si="255"/>
        <v>SPS3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0.78829125834187341</v>
      </c>
      <c r="H460" s="1">
        <f>'[1]Electricity and CHPs_IN'!D$97</f>
        <v>0.81217768673735924</v>
      </c>
      <c r="I460" s="1">
        <f>'[1]Electricity and CHPs_IN'!E$97</f>
        <v>0.85360700610472195</v>
      </c>
      <c r="J460" s="1">
        <f>'[1]Electricity and CHPs_IN'!F$97</f>
        <v>0.94291369216820087</v>
      </c>
      <c r="K460" s="1">
        <f>'[1]Electricity and CHPs_IN'!G$97</f>
        <v>1.0415627915201064</v>
      </c>
    </row>
    <row r="461" spans="1:11" x14ac:dyDescent="0.25">
      <c r="A461" s="5"/>
      <c r="B461" s="5" t="str">
        <f t="shared" si="255"/>
        <v>SPS3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7.9356991369797409</v>
      </c>
      <c r="G461" s="1">
        <f t="shared" ref="G461:K461" si="274">SUM(G462,G468,G501,G510,G516)</f>
        <v>8.6098555506977856</v>
      </c>
      <c r="H461" s="1">
        <f t="shared" si="274"/>
        <v>10.305139157612945</v>
      </c>
      <c r="I461" s="1">
        <f t="shared" si="274"/>
        <v>11.795652574390576</v>
      </c>
      <c r="J461" s="1">
        <f t="shared" si="274"/>
        <v>14.541225939867049</v>
      </c>
      <c r="K461" s="1">
        <f t="shared" si="274"/>
        <v>22.969720603351753</v>
      </c>
    </row>
    <row r="462" spans="1:11" x14ac:dyDescent="0.25">
      <c r="A462" s="5"/>
      <c r="B462" s="5" t="str">
        <f t="shared" si="255"/>
        <v>SPS3</v>
      </c>
      <c r="C462" s="5" t="s">
        <v>7</v>
      </c>
      <c r="D462" t="s">
        <v>892</v>
      </c>
      <c r="E462" t="str">
        <f>E397</f>
        <v>PJ/yr.</v>
      </c>
      <c r="F462" s="1">
        <f>+F463</f>
        <v>0.27643801852209426</v>
      </c>
      <c r="G462" s="1">
        <f t="shared" ref="G462:K462" si="275">+G463</f>
        <v>0.64144022014557311</v>
      </c>
      <c r="H462" s="1">
        <f t="shared" si="275"/>
        <v>1.3336412163060196E-2</v>
      </c>
      <c r="I462" s="1">
        <f t="shared" si="275"/>
        <v>0.57496009458212149</v>
      </c>
      <c r="J462" s="1">
        <f t="shared" si="275"/>
        <v>6.3303789240275864E-3</v>
      </c>
      <c r="K462" s="1">
        <f t="shared" si="275"/>
        <v>2.1413452376748607E-2</v>
      </c>
    </row>
    <row r="463" spans="1:11" x14ac:dyDescent="0.25">
      <c r="A463" s="5"/>
      <c r="B463" s="5" t="str">
        <f t="shared" si="255"/>
        <v>SPS3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0.27643801852209426</v>
      </c>
      <c r="G463" s="1">
        <f>'[1]Electricity and CHPs_IN'!C$41-G299</f>
        <v>0.64144022014557311</v>
      </c>
      <c r="H463" s="1">
        <f>'[1]Electricity and CHPs_IN'!D$41-H299</f>
        <v>1.3336412163060196E-2</v>
      </c>
      <c r="I463" s="1">
        <f>'[1]Electricity and CHPs_IN'!E$41-I299</f>
        <v>0.57496009458212149</v>
      </c>
      <c r="J463" s="1">
        <f>'[1]Electricity and CHPs_IN'!F$41-J299</f>
        <v>6.3303789240275864E-3</v>
      </c>
      <c r="K463" s="1">
        <f>'[1]Electricity and CHPs_IN'!G$41-K299</f>
        <v>2.1413452376748607E-2</v>
      </c>
    </row>
    <row r="464" spans="1:11" x14ac:dyDescent="0.25">
      <c r="A464" s="5"/>
      <c r="B464" s="5" t="str">
        <f t="shared" si="255"/>
        <v>SPS3</v>
      </c>
      <c r="C464" s="5" t="s">
        <v>7</v>
      </c>
      <c r="D464" t="s">
        <v>894</v>
      </c>
      <c r="E464" t="str">
        <f>E397</f>
        <v>PJ/yr.</v>
      </c>
      <c r="F464" s="1">
        <f>F465</f>
        <v>0.27643801852209426</v>
      </c>
      <c r="G464" s="1">
        <f t="shared" ref="G464:K464" si="276">G465</f>
        <v>0.64144022014557311</v>
      </c>
      <c r="H464" s="1">
        <f t="shared" si="276"/>
        <v>1.3336412163060196E-2</v>
      </c>
      <c r="I464" s="1">
        <f t="shared" si="276"/>
        <v>0.57496009458212149</v>
      </c>
      <c r="J464" s="1">
        <f t="shared" si="276"/>
        <v>6.3303789240275864E-3</v>
      </c>
      <c r="K464" s="1">
        <f t="shared" si="276"/>
        <v>2.1413452376748607E-2</v>
      </c>
    </row>
    <row r="465" spans="1:11" x14ac:dyDescent="0.25">
      <c r="A465" s="5"/>
      <c r="B465" s="5" t="str">
        <f t="shared" si="255"/>
        <v>SPS3</v>
      </c>
      <c r="C465" s="5" t="s">
        <v>7</v>
      </c>
      <c r="D465" t="s">
        <v>524</v>
      </c>
      <c r="E465" t="str">
        <f>E398</f>
        <v>PJ/yr.</v>
      </c>
      <c r="F465" s="1">
        <f>F463-F467</f>
        <v>0.27643801852209426</v>
      </c>
      <c r="G465" s="1">
        <f t="shared" ref="G465:K465" si="277">G463-G467</f>
        <v>0.64144022014557311</v>
      </c>
      <c r="H465" s="1">
        <f t="shared" si="277"/>
        <v>1.3336412163060196E-2</v>
      </c>
      <c r="I465" s="1">
        <f t="shared" si="277"/>
        <v>0.57496009458212149</v>
      </c>
      <c r="J465" s="1">
        <f t="shared" si="277"/>
        <v>6.3303789240275864E-3</v>
      </c>
      <c r="K465" s="1">
        <f t="shared" si="277"/>
        <v>2.1413452376748607E-2</v>
      </c>
    </row>
    <row r="466" spans="1:11" x14ac:dyDescent="0.25">
      <c r="A466" s="5"/>
      <c r="B466" s="5" t="str">
        <f t="shared" si="255"/>
        <v>SPS3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78">G467</f>
        <v>0</v>
      </c>
      <c r="H466" s="1">
        <f t="shared" si="278"/>
        <v>0</v>
      </c>
      <c r="I466" s="1">
        <f t="shared" si="278"/>
        <v>0</v>
      </c>
      <c r="J466" s="1">
        <f t="shared" si="278"/>
        <v>0</v>
      </c>
      <c r="K466" s="1">
        <f t="shared" si="278"/>
        <v>0</v>
      </c>
    </row>
    <row r="467" spans="1:11" x14ac:dyDescent="0.25">
      <c r="A467" s="5"/>
      <c r="B467" s="5" t="str">
        <f t="shared" si="255"/>
        <v>SPS3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79">IFERROR(G307/G299,0)*G463</f>
        <v>0</v>
      </c>
      <c r="H467" s="1">
        <f t="shared" si="279"/>
        <v>0</v>
      </c>
      <c r="I467" s="1">
        <f t="shared" si="279"/>
        <v>0</v>
      </c>
      <c r="J467" s="1">
        <f t="shared" si="279"/>
        <v>0</v>
      </c>
      <c r="K467" s="1">
        <f t="shared" si="279"/>
        <v>0</v>
      </c>
    </row>
    <row r="468" spans="1:11" x14ac:dyDescent="0.25">
      <c r="A468" s="5"/>
      <c r="B468" s="5" t="str">
        <f t="shared" si="255"/>
        <v>SPS3</v>
      </c>
      <c r="C468" s="5" t="s">
        <v>7</v>
      </c>
      <c r="D468" t="s">
        <v>893</v>
      </c>
      <c r="E468" t="str">
        <f>E399</f>
        <v>PJ/yr.</v>
      </c>
      <c r="F468" s="1">
        <f>SUM(F469:F478)</f>
        <v>3.6492652375286041</v>
      </c>
      <c r="G468" s="1">
        <f t="shared" ref="G468:K468" si="280">SUM(G469:G478)</f>
        <v>2.9208911670137683</v>
      </c>
      <c r="H468" s="1">
        <f t="shared" si="280"/>
        <v>1.8632982510241645</v>
      </c>
      <c r="I468" s="1">
        <f t="shared" si="280"/>
        <v>1.7004535831679264</v>
      </c>
      <c r="J468" s="1">
        <f t="shared" si="280"/>
        <v>4.8869480551015485</v>
      </c>
      <c r="K468" s="1">
        <f t="shared" si="280"/>
        <v>3.4971022703547936</v>
      </c>
    </row>
    <row r="469" spans="1:11" x14ac:dyDescent="0.25">
      <c r="A469" s="5"/>
      <c r="B469" s="5" t="str">
        <f t="shared" si="255"/>
        <v>SPS3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1.0297970144689419</v>
      </c>
      <c r="G469" s="1">
        <f>'[1]Electricity and CHPs_IN'!C$39-G314</f>
        <v>0.15280296015778946</v>
      </c>
      <c r="H469" s="1">
        <f>'[1]Electricity and CHPs_IN'!D$39-H314</f>
        <v>7.5655478350469818E-2</v>
      </c>
      <c r="I469" s="1">
        <f>'[1]Electricity and CHPs_IN'!E$39-I314</f>
        <v>3.5354166203618705E-2</v>
      </c>
      <c r="J469" s="1">
        <f>'[1]Electricity and CHPs_IN'!F$39-J314</f>
        <v>1.0074034335206178E-2</v>
      </c>
      <c r="K469" s="1">
        <f>'[1]Electricity and CHPs_IN'!G$39-K314</f>
        <v>2.9608817424461854E-2</v>
      </c>
    </row>
    <row r="470" spans="1:11" x14ac:dyDescent="0.25">
      <c r="A470" s="5"/>
      <c r="B470" s="5" t="str">
        <f t="shared" si="255"/>
        <v>SPS3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1.4371627518791087E-3</v>
      </c>
      <c r="K470" s="6">
        <f>'[1]Electricity and CHPs_IN'!G$40-K315</f>
        <v>1.1600652308070598E-2</v>
      </c>
    </row>
    <row r="471" spans="1:11" x14ac:dyDescent="0.25">
      <c r="A471" s="5"/>
      <c r="B471" s="5" t="str">
        <f t="shared" si="255"/>
        <v>SPS3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tr">
        <f t="shared" si="255"/>
        <v>SPS3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5.3942128765511223E-2</v>
      </c>
      <c r="G472" s="1">
        <f>'[1]Electricity and CHPs_IN'!C$48-G317</f>
        <v>2.2162378532487204E-2</v>
      </c>
      <c r="H472" s="1">
        <f>'[1]Electricity and CHPs_IN'!D$48-H317</f>
        <v>1.8144987628921999E-2</v>
      </c>
      <c r="I472" s="1">
        <f>'[1]Electricity and CHPs_IN'!E$48-I317</f>
        <v>6.2894466967880064E-3</v>
      </c>
      <c r="J472" s="1">
        <f>'[1]Electricity and CHPs_IN'!F$48-J317</f>
        <v>1.9853910246041752E-2</v>
      </c>
      <c r="K472" s="1">
        <f>'[1]Electricity and CHPs_IN'!G$48-K317</f>
        <v>8.5954258506608892E-3</v>
      </c>
    </row>
    <row r="473" spans="1:11" x14ac:dyDescent="0.25">
      <c r="A473" s="5"/>
      <c r="B473" s="5" t="str">
        <f t="shared" si="255"/>
        <v>SPS3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tr">
        <f t="shared" si="255"/>
        <v>SPS3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8.6764533775496741E-2</v>
      </c>
      <c r="G474" s="1">
        <f>'[1]Electricity and CHPs_IN'!C$51-G319</f>
        <v>6.5717829153975659E-3</v>
      </c>
      <c r="H474" s="1">
        <f>'[1]Electricity and CHPs_IN'!D$51-H319</f>
        <v>2.0457642684195525E-2</v>
      </c>
      <c r="I474" s="1">
        <f>'[1]Electricity and CHPs_IN'!E$51-I319</f>
        <v>5.6033883517006859E-3</v>
      </c>
      <c r="J474" s="1">
        <f>'[1]Electricity and CHPs_IN'!F$51-J319</f>
        <v>3.4340763462117705</v>
      </c>
      <c r="K474" s="1">
        <f>'[1]Electricity and CHPs_IN'!G$51-K319</f>
        <v>2.0561577516579819</v>
      </c>
    </row>
    <row r="475" spans="1:11" x14ac:dyDescent="0.25">
      <c r="A475" s="5"/>
      <c r="B475" s="5" t="str">
        <f t="shared" si="255"/>
        <v>SPS3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tr">
        <f t="shared" si="255"/>
        <v>SPS3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1.5806954382018787</v>
      </c>
      <c r="G476" s="1">
        <f>'[1]Electricity and CHPs_IN'!C$54-G321</f>
        <v>1.7913510842909237</v>
      </c>
      <c r="H476" s="1">
        <f>'[1]Electricity and CHPs_IN'!D$54-H321</f>
        <v>1.7434181608650905</v>
      </c>
      <c r="I476" s="1">
        <f>'[1]Electricity and CHPs_IN'!E$54-I321</f>
        <v>1.6521432518129509</v>
      </c>
      <c r="J476" s="1">
        <f>'[1]Electricity and CHPs_IN'!F$54-J321</f>
        <v>1.4053494671947715</v>
      </c>
      <c r="K476" s="1">
        <f>'[1]Electricity and CHPs_IN'!G$54-K321</f>
        <v>1.3679416481026705</v>
      </c>
    </row>
    <row r="477" spans="1:11" x14ac:dyDescent="0.25">
      <c r="A477" s="5"/>
      <c r="B477" s="5" t="str">
        <f t="shared" si="255"/>
        <v>SPS3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0.89806612231677529</v>
      </c>
      <c r="G477" s="1">
        <f>'[1]Electricity and CHPs_IN'!C$55-G322</f>
        <v>0.94800296111717008</v>
      </c>
      <c r="H477" s="1">
        <f>'[1]Electricity and CHPs_IN'!D$55-H322</f>
        <v>5.6219814954865596E-3</v>
      </c>
      <c r="I477" s="1">
        <f>'[1]Electricity and CHPs_IN'!E$55-I322</f>
        <v>9.824754303311312E-4</v>
      </c>
      <c r="J477" s="1">
        <f>'[1]Electricity and CHPs_IN'!F$55-J322</f>
        <v>1.3738929871627503E-2</v>
      </c>
      <c r="K477" s="1">
        <f>'[1]Electricity and CHPs_IN'!G$55-K322</f>
        <v>7.4083573629301713E-4</v>
      </c>
    </row>
    <row r="478" spans="1:11" x14ac:dyDescent="0.25">
      <c r="A478" s="5"/>
      <c r="B478" s="5" t="str">
        <f t="shared" si="255"/>
        <v>SPS3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8.0854672537145165E-5</v>
      </c>
      <c r="J478" s="1">
        <f>'[1]Electricity and CHPs_IN'!F$58-J323</f>
        <v>2.4182044902519139E-3</v>
      </c>
      <c r="K478" s="1">
        <f>'[1]Electricity and CHPs_IN'!G$58-K323</f>
        <v>2.2457139274654925E-2</v>
      </c>
    </row>
    <row r="479" spans="1:11" x14ac:dyDescent="0.25">
      <c r="A479" s="5"/>
      <c r="B479" s="5" t="str">
        <f t="shared" si="255"/>
        <v>SPS3</v>
      </c>
      <c r="C479" s="5" t="s">
        <v>7</v>
      </c>
      <c r="D479" t="s">
        <v>896</v>
      </c>
      <c r="E479" t="str">
        <f>E400</f>
        <v>PJ/yr.</v>
      </c>
      <c r="F479" s="1">
        <f>SUM(F480:F489)</f>
        <v>2.0152839895873624</v>
      </c>
      <c r="G479" s="1">
        <f t="shared" ref="G479:K479" si="281">SUM(G480:G489)</f>
        <v>1.0937721303397288</v>
      </c>
      <c r="H479" s="1">
        <f t="shared" si="281"/>
        <v>0.1067214809101653</v>
      </c>
      <c r="I479" s="1">
        <f t="shared" si="281"/>
        <v>4.8297926825580338E-2</v>
      </c>
      <c r="J479" s="1">
        <f t="shared" si="281"/>
        <v>2.9478710768369862</v>
      </c>
      <c r="K479" s="1">
        <f t="shared" si="281"/>
        <v>1.1772205517901033</v>
      </c>
    </row>
    <row r="480" spans="1:11" x14ac:dyDescent="0.25">
      <c r="A480" s="5"/>
      <c r="B480" s="5" t="str">
        <f t="shared" si="255"/>
        <v>SPS3</v>
      </c>
      <c r="C480" s="5" t="s">
        <v>7</v>
      </c>
      <c r="D480" t="s">
        <v>597</v>
      </c>
      <c r="E480" t="str">
        <f>E400</f>
        <v>PJ/yr.</v>
      </c>
      <c r="F480" s="1">
        <f t="shared" ref="F480:F486" si="282">F469-F491</f>
        <v>1.0032697163323183</v>
      </c>
      <c r="G480" s="1">
        <f t="shared" ref="G480:K480" si="283">G469-G491</f>
        <v>0.14796431026256129</v>
      </c>
      <c r="H480" s="1">
        <f t="shared" si="283"/>
        <v>6.7351172974722276E-2</v>
      </c>
      <c r="I480" s="1">
        <f t="shared" si="283"/>
        <v>3.534508839807235E-2</v>
      </c>
      <c r="J480" s="1">
        <f t="shared" si="283"/>
        <v>8.5296893636642775E-3</v>
      </c>
      <c r="K480" s="1">
        <f t="shared" si="283"/>
        <v>1.6370821450477656E-2</v>
      </c>
    </row>
    <row r="481" spans="1:18" x14ac:dyDescent="0.25">
      <c r="A481" s="5"/>
      <c r="B481" s="5" t="str">
        <f t="shared" si="255"/>
        <v>SPS3</v>
      </c>
      <c r="C481" s="5" t="s">
        <v>7</v>
      </c>
      <c r="D481" t="s">
        <v>598</v>
      </c>
      <c r="E481" t="str">
        <f>E401</f>
        <v>PJ/yr.</v>
      </c>
      <c r="F481" s="1">
        <f t="shared" si="282"/>
        <v>0</v>
      </c>
      <c r="G481" s="1">
        <f t="shared" ref="G481:K481" si="284">G470-G492</f>
        <v>0</v>
      </c>
      <c r="H481" s="1">
        <f t="shared" si="284"/>
        <v>0</v>
      </c>
      <c r="I481" s="1">
        <f t="shared" si="284"/>
        <v>0</v>
      </c>
      <c r="J481" s="1">
        <f t="shared" si="284"/>
        <v>1.2168463428516626E-3</v>
      </c>
      <c r="K481" s="1">
        <f t="shared" si="284"/>
        <v>6.4140423078024008E-3</v>
      </c>
    </row>
    <row r="482" spans="1:18" x14ac:dyDescent="0.25">
      <c r="A482" s="5"/>
      <c r="B482" s="5" t="str">
        <f t="shared" si="255"/>
        <v>SPS3</v>
      </c>
      <c r="C482" s="5" t="s">
        <v>7</v>
      </c>
      <c r="D482" t="s">
        <v>599</v>
      </c>
      <c r="E482" t="str">
        <f>E402</f>
        <v>PJ/yr.</v>
      </c>
      <c r="F482" s="1">
        <f t="shared" si="282"/>
        <v>0</v>
      </c>
      <c r="G482" s="1">
        <f t="shared" ref="G482:K482" si="285">G471-G493</f>
        <v>0</v>
      </c>
      <c r="H482" s="1">
        <f t="shared" si="285"/>
        <v>0</v>
      </c>
      <c r="I482" s="1">
        <f t="shared" si="285"/>
        <v>0</v>
      </c>
      <c r="J482" s="1">
        <f t="shared" si="285"/>
        <v>0</v>
      </c>
      <c r="K482" s="1">
        <f t="shared" si="285"/>
        <v>0</v>
      </c>
    </row>
    <row r="483" spans="1:18" x14ac:dyDescent="0.25">
      <c r="A483" s="5"/>
      <c r="B483" s="5" t="str">
        <f t="shared" si="255"/>
        <v>SPS3</v>
      </c>
      <c r="C483" s="5" t="s">
        <v>7</v>
      </c>
      <c r="D483" t="s">
        <v>600</v>
      </c>
      <c r="E483" t="str">
        <f>E427</f>
        <v>PJ/yr.</v>
      </c>
      <c r="F483" s="1">
        <f t="shared" si="282"/>
        <v>5.255259382631277E-2</v>
      </c>
      <c r="G483" s="1">
        <f t="shared" ref="G483:K483" si="286">G472-G494</f>
        <v>2.1460585907177518E-2</v>
      </c>
      <c r="H483" s="1">
        <f t="shared" si="286"/>
        <v>1.615330742816105E-2</v>
      </c>
      <c r="I483" s="1">
        <f t="shared" si="286"/>
        <v>6.2878317704514949E-3</v>
      </c>
      <c r="J483" s="1">
        <f t="shared" si="286"/>
        <v>1.6810314658247751E-2</v>
      </c>
      <c r="K483" s="1">
        <f t="shared" si="286"/>
        <v>4.7524418106525213E-3</v>
      </c>
    </row>
    <row r="484" spans="1:18" x14ac:dyDescent="0.25">
      <c r="A484" s="5"/>
      <c r="B484" s="5" t="str">
        <f t="shared" si="255"/>
        <v>SPS3</v>
      </c>
      <c r="C484" s="5" t="s">
        <v>7</v>
      </c>
      <c r="D484" t="s">
        <v>601</v>
      </c>
      <c r="E484" t="str">
        <f>E429</f>
        <v>PJ/yr.</v>
      </c>
      <c r="F484" s="1">
        <f t="shared" si="282"/>
        <v>0</v>
      </c>
      <c r="G484" s="1">
        <f t="shared" ref="G484:K484" si="287">G473-G495</f>
        <v>0</v>
      </c>
      <c r="H484" s="1">
        <f t="shared" si="287"/>
        <v>0</v>
      </c>
      <c r="I484" s="1">
        <f t="shared" si="287"/>
        <v>0</v>
      </c>
      <c r="J484" s="1">
        <f t="shared" si="287"/>
        <v>0</v>
      </c>
      <c r="K484" s="1">
        <f t="shared" si="287"/>
        <v>0</v>
      </c>
    </row>
    <row r="485" spans="1:18" x14ac:dyDescent="0.25">
      <c r="A485" s="5"/>
      <c r="B485" s="5" t="str">
        <f t="shared" si="255"/>
        <v>SPS3</v>
      </c>
      <c r="C485" s="5" t="s">
        <v>7</v>
      </c>
      <c r="D485" t="s">
        <v>602</v>
      </c>
      <c r="E485" t="str">
        <f>E431</f>
        <v>PJ/yr.</v>
      </c>
      <c r="F485" s="1">
        <f t="shared" si="282"/>
        <v>8.4529502383087166E-2</v>
      </c>
      <c r="G485" s="1">
        <f t="shared" ref="G485:K485" si="288">G474-G496</f>
        <v>6.3636812092381142E-3</v>
      </c>
      <c r="H485" s="1">
        <f t="shared" si="288"/>
        <v>1.8212114457799317E-2</v>
      </c>
      <c r="I485" s="1">
        <f t="shared" si="288"/>
        <v>5.6019495829410307E-3</v>
      </c>
      <c r="J485" s="1">
        <f t="shared" si="288"/>
        <v>2.9076339736034993</v>
      </c>
      <c r="K485" s="1">
        <f t="shared" si="288"/>
        <v>1.1368570025562308</v>
      </c>
    </row>
    <row r="486" spans="1:18" x14ac:dyDescent="0.25">
      <c r="A486" s="5"/>
      <c r="B486" s="5" t="str">
        <f t="shared" si="255"/>
        <v>SPS3</v>
      </c>
      <c r="C486" s="5" t="s">
        <v>7</v>
      </c>
      <c r="D486" t="s">
        <v>603</v>
      </c>
      <c r="E486" t="str">
        <f>E432</f>
        <v>PJ/yr.</v>
      </c>
      <c r="F486" s="1">
        <f t="shared" si="282"/>
        <v>0</v>
      </c>
      <c r="G486" s="1">
        <f t="shared" ref="G486:K486" si="289">G475-G497</f>
        <v>0</v>
      </c>
      <c r="H486" s="1">
        <f t="shared" si="289"/>
        <v>0</v>
      </c>
      <c r="I486" s="1">
        <f t="shared" si="289"/>
        <v>0</v>
      </c>
      <c r="J486" s="1">
        <f t="shared" si="289"/>
        <v>0</v>
      </c>
      <c r="K486" s="1">
        <f t="shared" si="289"/>
        <v>0</v>
      </c>
    </row>
    <row r="487" spans="1:18" x14ac:dyDescent="0.25">
      <c r="A487" s="5"/>
      <c r="B487" s="5" t="str">
        <f t="shared" si="255"/>
        <v>SPS3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tr">
        <f t="shared" si="255"/>
        <v>SPS3</v>
      </c>
      <c r="C488" s="5" t="s">
        <v>7</v>
      </c>
      <c r="D488" t="s">
        <v>605</v>
      </c>
      <c r="E488" t="str">
        <f>E471</f>
        <v>PJ/yr.</v>
      </c>
      <c r="F488" s="1">
        <f>F477-F499</f>
        <v>0.87493217704564419</v>
      </c>
      <c r="G488" s="1">
        <f t="shared" ref="G488:K488" si="290">G477-G499</f>
        <v>0.91798355296075185</v>
      </c>
      <c r="H488" s="1">
        <f t="shared" si="290"/>
        <v>5.0048860494826498E-3</v>
      </c>
      <c r="I488" s="1">
        <f t="shared" si="290"/>
        <v>9.8222316244113927E-4</v>
      </c>
      <c r="J488" s="1">
        <f t="shared" si="290"/>
        <v>1.1632758048541247E-2</v>
      </c>
      <c r="K488" s="1">
        <f t="shared" si="290"/>
        <v>4.0961073821767338E-4</v>
      </c>
    </row>
    <row r="489" spans="1:18" x14ac:dyDescent="0.25">
      <c r="A489" s="5"/>
      <c r="B489" s="5" t="str">
        <f t="shared" si="255"/>
        <v>SPS3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1">G478-G500</f>
        <v>0</v>
      </c>
      <c r="H489" s="1">
        <f t="shared" si="291"/>
        <v>0</v>
      </c>
      <c r="I489" s="1">
        <f t="shared" si="291"/>
        <v>8.0833911674321271E-5</v>
      </c>
      <c r="J489" s="1">
        <f t="shared" si="291"/>
        <v>2.0474948201816704E-3</v>
      </c>
      <c r="K489" s="1">
        <f t="shared" si="291"/>
        <v>1.2416632926722404E-2</v>
      </c>
    </row>
    <row r="490" spans="1:18" x14ac:dyDescent="0.25">
      <c r="A490" s="5"/>
      <c r="B490" s="5" t="str">
        <f t="shared" si="255"/>
        <v>SPS3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1.6339812479412414</v>
      </c>
      <c r="G490" s="1">
        <f t="shared" ref="G490:K490" si="292">SUM(G491:G500)</f>
        <v>1.8271190366740393</v>
      </c>
      <c r="H490" s="1">
        <f t="shared" si="292"/>
        <v>1.7565767701139992</v>
      </c>
      <c r="I490" s="1">
        <f t="shared" si="292"/>
        <v>1.6521556563423461</v>
      </c>
      <c r="J490" s="1">
        <f t="shared" si="292"/>
        <v>1.9390769782645625</v>
      </c>
      <c r="K490" s="1">
        <f t="shared" si="292"/>
        <v>2.3198817185646901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tr">
        <f t="shared" si="255"/>
        <v>SPS3</v>
      </c>
      <c r="C491" s="5" t="s">
        <v>7</v>
      </c>
      <c r="D491" t="s">
        <v>658</v>
      </c>
      <c r="E491" t="str">
        <f>E403</f>
        <v>PJ/yr.</v>
      </c>
      <c r="F491" s="1">
        <f t="shared" ref="F491:F497" si="293">IFERROR(F346/F314,0)*F469</f>
        <v>2.6527298136623634E-2</v>
      </c>
      <c r="G491" s="1">
        <f t="shared" ref="G491:K491" si="294">IFERROR(G346/G314,0)*G469</f>
        <v>4.8386498952281793E-3</v>
      </c>
      <c r="H491" s="1">
        <f t="shared" si="294"/>
        <v>8.3043053757475439E-3</v>
      </c>
      <c r="I491" s="1">
        <f t="shared" si="294"/>
        <v>9.0778055463525073E-6</v>
      </c>
      <c r="J491" s="1">
        <f t="shared" si="294"/>
        <v>1.5443449715419003E-3</v>
      </c>
      <c r="K491" s="1">
        <f t="shared" si="294"/>
        <v>1.32379959739842E-2</v>
      </c>
    </row>
    <row r="492" spans="1:18" x14ac:dyDescent="0.25">
      <c r="A492" s="5"/>
      <c r="B492" s="5" t="str">
        <f t="shared" si="255"/>
        <v>SPS3</v>
      </c>
      <c r="C492" s="5" t="s">
        <v>7</v>
      </c>
      <c r="D492" t="s">
        <v>659</v>
      </c>
      <c r="E492" t="str">
        <f>E404</f>
        <v>PJ/yr.</v>
      </c>
      <c r="F492" s="1">
        <f t="shared" si="293"/>
        <v>0</v>
      </c>
      <c r="G492" s="1">
        <f t="shared" ref="G492:K492" si="295">IFERROR(G347/G315,0)*G470</f>
        <v>0</v>
      </c>
      <c r="H492" s="1">
        <f t="shared" si="295"/>
        <v>0</v>
      </c>
      <c r="I492" s="1">
        <f t="shared" si="295"/>
        <v>0</v>
      </c>
      <c r="J492" s="1">
        <f t="shared" si="295"/>
        <v>2.2031640902744608E-4</v>
      </c>
      <c r="K492" s="1">
        <f t="shared" si="295"/>
        <v>5.1866100002681973E-3</v>
      </c>
    </row>
    <row r="493" spans="1:18" x14ac:dyDescent="0.25">
      <c r="A493" s="5"/>
      <c r="B493" s="5" t="str">
        <f t="shared" si="255"/>
        <v>SPS3</v>
      </c>
      <c r="C493" s="5" t="s">
        <v>7</v>
      </c>
      <c r="D493" t="s">
        <v>660</v>
      </c>
      <c r="E493" t="str">
        <f>E405</f>
        <v>PJ/yr.</v>
      </c>
      <c r="F493" s="1">
        <f t="shared" si="293"/>
        <v>0</v>
      </c>
      <c r="G493" s="1">
        <f t="shared" ref="G493:K493" si="296">IFERROR(G348/G316,0)*G471</f>
        <v>0</v>
      </c>
      <c r="H493" s="1">
        <f t="shared" si="296"/>
        <v>0</v>
      </c>
      <c r="I493" s="1">
        <f t="shared" si="296"/>
        <v>0</v>
      </c>
      <c r="J493" s="1">
        <f t="shared" si="296"/>
        <v>0</v>
      </c>
      <c r="K493" s="1">
        <f t="shared" si="296"/>
        <v>0</v>
      </c>
    </row>
    <row r="494" spans="1:18" x14ac:dyDescent="0.25">
      <c r="A494" s="5"/>
      <c r="B494" s="5" t="str">
        <f t="shared" si="255"/>
        <v>SPS3</v>
      </c>
      <c r="C494" s="5" t="s">
        <v>7</v>
      </c>
      <c r="D494" t="s">
        <v>661</v>
      </c>
      <c r="E494" t="str">
        <f>E433</f>
        <v>PJ/yr.</v>
      </c>
      <c r="F494" s="1">
        <f t="shared" si="293"/>
        <v>1.3895349391984549E-3</v>
      </c>
      <c r="G494" s="1">
        <f t="shared" ref="G494:K494" si="297">IFERROR(G349/G317,0)*G472</f>
        <v>7.017926253096861E-4</v>
      </c>
      <c r="H494" s="1">
        <f t="shared" si="297"/>
        <v>1.9916802007609495E-3</v>
      </c>
      <c r="I494" s="1">
        <f t="shared" si="297"/>
        <v>1.6149263365113047E-6</v>
      </c>
      <c r="J494" s="1">
        <f t="shared" si="297"/>
        <v>3.0435955877940002E-3</v>
      </c>
      <c r="K494" s="1">
        <f t="shared" si="297"/>
        <v>3.842984040008368E-3</v>
      </c>
    </row>
    <row r="495" spans="1:18" x14ac:dyDescent="0.25">
      <c r="A495" s="5"/>
      <c r="B495" s="5" t="str">
        <f t="shared" si="255"/>
        <v>SPS3</v>
      </c>
      <c r="C495" s="5" t="s">
        <v>7</v>
      </c>
      <c r="D495" t="s">
        <v>662</v>
      </c>
      <c r="E495" t="str">
        <f>E435</f>
        <v>PJ/yr.</v>
      </c>
      <c r="F495" s="1">
        <f t="shared" si="293"/>
        <v>0</v>
      </c>
      <c r="G495" s="1">
        <f t="shared" ref="G495:K495" si="298">IFERROR(G350/G318,0)*G473</f>
        <v>0</v>
      </c>
      <c r="H495" s="1">
        <f t="shared" si="298"/>
        <v>0</v>
      </c>
      <c r="I495" s="1">
        <f t="shared" si="298"/>
        <v>0</v>
      </c>
      <c r="J495" s="1">
        <f t="shared" si="298"/>
        <v>0</v>
      </c>
      <c r="K495" s="1">
        <f t="shared" si="298"/>
        <v>0</v>
      </c>
    </row>
    <row r="496" spans="1:18" x14ac:dyDescent="0.25">
      <c r="A496" s="5"/>
      <c r="B496" s="5" t="str">
        <f t="shared" si="255"/>
        <v>SPS3</v>
      </c>
      <c r="C496" s="5" t="s">
        <v>7</v>
      </c>
      <c r="D496" t="s">
        <v>663</v>
      </c>
      <c r="E496" t="str">
        <f>E437</f>
        <v>PJ/yr.</v>
      </c>
      <c r="F496" s="1">
        <f t="shared" si="293"/>
        <v>2.2350313924095781E-3</v>
      </c>
      <c r="G496" s="1">
        <f t="shared" ref="G496:K496" si="299">IFERROR(G351/G319,0)*G474</f>
        <v>2.0810170615945164E-4</v>
      </c>
      <c r="H496" s="1">
        <f t="shared" si="299"/>
        <v>2.245528226396207E-3</v>
      </c>
      <c r="I496" s="1">
        <f t="shared" si="299"/>
        <v>1.4387687596556316E-6</v>
      </c>
      <c r="J496" s="1">
        <f t="shared" si="299"/>
        <v>0.52644237260827109</v>
      </c>
      <c r="K496" s="1">
        <f t="shared" si="299"/>
        <v>0.91930074910175108</v>
      </c>
    </row>
    <row r="497" spans="1:11" x14ac:dyDescent="0.25">
      <c r="A497" s="5"/>
      <c r="B497" s="5" t="str">
        <f t="shared" si="255"/>
        <v>SPS3</v>
      </c>
      <c r="C497" s="5" t="s">
        <v>7</v>
      </c>
      <c r="D497" t="s">
        <v>664</v>
      </c>
      <c r="E497" t="str">
        <f>E438</f>
        <v>PJ/yr.</v>
      </c>
      <c r="F497" s="1">
        <f t="shared" si="293"/>
        <v>0</v>
      </c>
      <c r="G497" s="1">
        <f t="shared" ref="G497:K497" si="300">IFERROR(G352/G320,0)*G475</f>
        <v>0</v>
      </c>
      <c r="H497" s="1">
        <f t="shared" si="300"/>
        <v>0</v>
      </c>
      <c r="I497" s="1">
        <f t="shared" si="300"/>
        <v>0</v>
      </c>
      <c r="J497" s="1">
        <f t="shared" si="300"/>
        <v>0</v>
      </c>
      <c r="K497" s="1">
        <f t="shared" si="300"/>
        <v>0</v>
      </c>
    </row>
    <row r="498" spans="1:11" x14ac:dyDescent="0.25">
      <c r="A498" s="5"/>
      <c r="B498" s="5" t="str">
        <f t="shared" si="255"/>
        <v>SPS3</v>
      </c>
      <c r="C498" s="5" t="s">
        <v>7</v>
      </c>
      <c r="D498" t="s">
        <v>665</v>
      </c>
      <c r="E498" t="str">
        <f>E461</f>
        <v>PJ/yr.</v>
      </c>
      <c r="F498" s="1">
        <f>F476</f>
        <v>1.5806954382018787</v>
      </c>
      <c r="G498" s="1">
        <f t="shared" ref="G498:K498" si="301">G476</f>
        <v>1.7913510842909237</v>
      </c>
      <c r="H498" s="1">
        <f t="shared" si="301"/>
        <v>1.7434181608650905</v>
      </c>
      <c r="I498" s="1">
        <f t="shared" si="301"/>
        <v>1.6521432518129509</v>
      </c>
      <c r="J498" s="1">
        <f t="shared" si="301"/>
        <v>1.4053494671947715</v>
      </c>
      <c r="K498" s="1">
        <f t="shared" si="301"/>
        <v>1.3679416481026705</v>
      </c>
    </row>
    <row r="499" spans="1:11" x14ac:dyDescent="0.25">
      <c r="A499" s="5"/>
      <c r="B499" s="5" t="str">
        <f t="shared" si="255"/>
        <v>SPS3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2.3133945271131055E-2</v>
      </c>
      <c r="G499" s="1">
        <f t="shared" ref="G499:K499" si="302">IFERROR(G354/G322,0)*G477</f>
        <v>3.0019408156418275E-2</v>
      </c>
      <c r="H499" s="1">
        <f t="shared" si="302"/>
        <v>6.1709544600390949E-4</v>
      </c>
      <c r="I499" s="1">
        <f t="shared" si="302"/>
        <v>2.5226788999194174E-7</v>
      </c>
      <c r="J499" s="1">
        <f t="shared" si="302"/>
        <v>2.1061718230862567E-3</v>
      </c>
      <c r="K499" s="1">
        <f t="shared" si="302"/>
        <v>3.3122499807534375E-4</v>
      </c>
    </row>
    <row r="500" spans="1:11" x14ac:dyDescent="0.25">
      <c r="A500" s="5"/>
      <c r="B500" s="5" t="str">
        <f t="shared" ref="B500:B563" si="303">B499</f>
        <v>SPS3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4">IFERROR(G355/G323,0)*G478</f>
        <v>0</v>
      </c>
      <c r="H500" s="1">
        <f t="shared" si="304"/>
        <v>0</v>
      </c>
      <c r="I500" s="1">
        <f t="shared" si="304"/>
        <v>2.0760862823888039E-8</v>
      </c>
      <c r="J500" s="1">
        <f t="shared" si="304"/>
        <v>3.7070967007024331E-4</v>
      </c>
      <c r="K500" s="1">
        <f t="shared" si="304"/>
        <v>1.0040506347932521E-2</v>
      </c>
    </row>
    <row r="501" spans="1:11" x14ac:dyDescent="0.25">
      <c r="A501" s="5"/>
      <c r="B501" s="5" t="str">
        <f t="shared" si="303"/>
        <v>SPS3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3.317518898055916</v>
      </c>
      <c r="G501" s="1">
        <f t="shared" ref="G501:K501" si="305">SUM(G502:G503)</f>
        <v>3.2528118890936555</v>
      </c>
      <c r="H501" s="1">
        <f t="shared" si="305"/>
        <v>4.7994934082523057</v>
      </c>
      <c r="I501" s="1">
        <f t="shared" si="305"/>
        <v>4.8294071636775548</v>
      </c>
      <c r="J501" s="1">
        <f t="shared" si="305"/>
        <v>4.5914892763173611</v>
      </c>
      <c r="K501" s="1">
        <f t="shared" si="305"/>
        <v>10.628894076356499</v>
      </c>
    </row>
    <row r="502" spans="1:11" x14ac:dyDescent="0.25">
      <c r="A502" s="5"/>
      <c r="B502" s="5" t="str">
        <f t="shared" si="303"/>
        <v>SPS3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3.317518898055916</v>
      </c>
      <c r="G502" s="6">
        <f>'[1]Electricity and CHPs_IN'!C$44-G361</f>
        <v>3.2528118890936555</v>
      </c>
      <c r="H502" s="6">
        <f>'[1]Electricity and CHPs_IN'!D$44-H361</f>
        <v>4.7994934082523057</v>
      </c>
      <c r="I502" s="6">
        <f>'[1]Electricity and CHPs_IN'!E$44-I361</f>
        <v>4.8294071636775548</v>
      </c>
      <c r="J502" s="6">
        <f>'[1]Electricity and CHPs_IN'!F$44-J361</f>
        <v>3.513876086545435</v>
      </c>
      <c r="K502" s="6">
        <f>'[1]Electricity and CHPs_IN'!G$44-K361</f>
        <v>1.492837882029834E-3</v>
      </c>
    </row>
    <row r="503" spans="1:11" x14ac:dyDescent="0.25">
      <c r="A503" s="5"/>
      <c r="B503" s="5" t="str">
        <f t="shared" si="303"/>
        <v>SPS3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1.0776131897719263</v>
      </c>
      <c r="K503" s="1">
        <f>'[1]Electricity and CHPs_IN'!G$45</f>
        <v>10.627401238474469</v>
      </c>
    </row>
    <row r="504" spans="1:11" x14ac:dyDescent="0.25">
      <c r="A504" s="5"/>
      <c r="B504" s="5" t="str">
        <f t="shared" si="303"/>
        <v>SPS3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06">SUM(G505:G506)</f>
        <v>0</v>
      </c>
      <c r="H504" s="1">
        <f t="shared" si="306"/>
        <v>0</v>
      </c>
      <c r="I504" s="1">
        <f t="shared" si="306"/>
        <v>0</v>
      </c>
      <c r="J504" s="1">
        <f t="shared" si="306"/>
        <v>0</v>
      </c>
      <c r="K504" s="1">
        <f t="shared" si="306"/>
        <v>0</v>
      </c>
    </row>
    <row r="505" spans="1:11" x14ac:dyDescent="0.25">
      <c r="A505" s="5"/>
      <c r="B505" s="5" t="str">
        <f t="shared" si="303"/>
        <v>SPS3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tr">
        <f t="shared" si="303"/>
        <v>SPS3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tr">
        <f t="shared" si="303"/>
        <v>SPS3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3.317518898055916</v>
      </c>
      <c r="G507" s="1">
        <f t="shared" ref="G507:K507" si="307">SUM(G508:G509)</f>
        <v>3.2528118890936555</v>
      </c>
      <c r="H507" s="1">
        <f t="shared" si="307"/>
        <v>4.7994934082523057</v>
      </c>
      <c r="I507" s="1">
        <f t="shared" si="307"/>
        <v>4.8294071636775548</v>
      </c>
      <c r="J507" s="1">
        <f t="shared" si="307"/>
        <v>4.5914892763173611</v>
      </c>
      <c r="K507" s="1">
        <f t="shared" si="307"/>
        <v>10.628894076356499</v>
      </c>
    </row>
    <row r="508" spans="1:11" x14ac:dyDescent="0.25">
      <c r="A508" s="5"/>
      <c r="B508" s="5" t="str">
        <f t="shared" si="303"/>
        <v>SPS3</v>
      </c>
      <c r="C508" s="5" t="s">
        <v>7</v>
      </c>
      <c r="D508" t="s">
        <v>221</v>
      </c>
      <c r="E508" t="str">
        <f>E411</f>
        <v>PJ/yr.</v>
      </c>
      <c r="F508" s="1">
        <f>F502</f>
        <v>3.317518898055916</v>
      </c>
      <c r="G508" s="1">
        <f t="shared" ref="G508:K508" si="308">G502</f>
        <v>3.2528118890936555</v>
      </c>
      <c r="H508" s="1">
        <f t="shared" si="308"/>
        <v>4.7994934082523057</v>
      </c>
      <c r="I508" s="1">
        <f t="shared" si="308"/>
        <v>4.8294071636775548</v>
      </c>
      <c r="J508" s="1">
        <f t="shared" si="308"/>
        <v>3.513876086545435</v>
      </c>
      <c r="K508" s="1">
        <f t="shared" si="308"/>
        <v>1.492837882029834E-3</v>
      </c>
    </row>
    <row r="509" spans="1:11" x14ac:dyDescent="0.25">
      <c r="A509" s="5"/>
      <c r="B509" s="5" t="str">
        <f t="shared" si="303"/>
        <v>SPS3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09">G503</f>
        <v>0</v>
      </c>
      <c r="H509" s="1">
        <f t="shared" si="309"/>
        <v>0</v>
      </c>
      <c r="I509" s="1">
        <f t="shared" si="309"/>
        <v>0</v>
      </c>
      <c r="J509" s="1">
        <f t="shared" si="309"/>
        <v>1.0776131897719263</v>
      </c>
      <c r="K509" s="1">
        <f t="shared" si="309"/>
        <v>10.627401238474469</v>
      </c>
    </row>
    <row r="510" spans="1:11" x14ac:dyDescent="0.25">
      <c r="A510" s="5"/>
      <c r="B510" s="5" t="str">
        <f t="shared" si="303"/>
        <v>SPS3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0.69247698287312653</v>
      </c>
      <c r="G510" s="1">
        <f t="shared" ref="G510:K510" si="310">SUM(G511:G515)</f>
        <v>1.7947122744447892</v>
      </c>
      <c r="H510" s="1">
        <f t="shared" si="310"/>
        <v>3.6290110861734162</v>
      </c>
      <c r="I510" s="1">
        <f t="shared" si="310"/>
        <v>3.0281361722628231</v>
      </c>
      <c r="J510" s="1">
        <f t="shared" si="310"/>
        <v>4.9915437285659072</v>
      </c>
      <c r="K510" s="1">
        <f t="shared" si="310"/>
        <v>6.624403665399182</v>
      </c>
    </row>
    <row r="511" spans="1:11" x14ac:dyDescent="0.25">
      <c r="A511" s="5"/>
      <c r="B511" s="5" t="str">
        <f t="shared" si="303"/>
        <v>SPS3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0.69247698287312653</v>
      </c>
      <c r="G511" s="6">
        <f>'[1]Electricity and CHPs_IN'!C$42-G380</f>
        <v>1.7947122744447892</v>
      </c>
      <c r="H511" s="6">
        <f>'[1]Electricity and CHPs_IN'!D$42-H380</f>
        <v>3.6290110861734162</v>
      </c>
      <c r="I511" s="6">
        <f>'[1]Electricity and CHPs_IN'!E$42-I380</f>
        <v>3.0042619934247128</v>
      </c>
      <c r="J511" s="6">
        <f>'[1]Electricity and CHPs_IN'!F$42-J380</f>
        <v>3.6842834145547387</v>
      </c>
      <c r="K511" s="6">
        <f>'[1]Electricity and CHPs_IN'!G$42-K380</f>
        <v>0.72953146464735441</v>
      </c>
    </row>
    <row r="512" spans="1:11" x14ac:dyDescent="0.25">
      <c r="A512" s="5"/>
      <c r="B512" s="5" t="str">
        <f t="shared" si="303"/>
        <v>SPS3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1.2851213449221697</v>
      </c>
      <c r="K512" s="1">
        <f>'[1]Electricity and CHPs_IN'!G$43-K381</f>
        <v>5.8854374473285382</v>
      </c>
    </row>
    <row r="513" spans="1:11" x14ac:dyDescent="0.25">
      <c r="A513" s="5"/>
      <c r="B513" s="5" t="str">
        <f t="shared" si="303"/>
        <v>SPS3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5.9548891617142892E-3</v>
      </c>
      <c r="J513" s="1">
        <f>'[1]Electricity and CHPs_IN'!F$50-J382</f>
        <v>7.1902107336120433E-3</v>
      </c>
      <c r="K513" s="1">
        <f>'[1]Electricity and CHPs_IN'!G$50-K382</f>
        <v>3.1199703161409031E-3</v>
      </c>
    </row>
    <row r="514" spans="1:11" x14ac:dyDescent="0.25">
      <c r="A514" s="5"/>
      <c r="B514" s="5" t="str">
        <f t="shared" si="303"/>
        <v>SPS3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1.6712661237522693E-2</v>
      </c>
      <c r="J514" s="1">
        <f>'[1]Electricity and CHPs_IN'!F$53-J383</f>
        <v>1.2352713553664161E-2</v>
      </c>
      <c r="K514" s="1">
        <f>'[1]Electricity and CHPs_IN'!G$53-K383</f>
        <v>5.5691338103875153E-3</v>
      </c>
    </row>
    <row r="515" spans="1:11" x14ac:dyDescent="0.25">
      <c r="A515" s="5"/>
      <c r="B515" s="5" t="str">
        <f t="shared" si="303"/>
        <v>SPS3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1.2066284388733489E-3</v>
      </c>
      <c r="J515" s="1">
        <f>'[1]Electricity and CHPs_IN'!F$56-J384</f>
        <v>2.596044801721804E-3</v>
      </c>
      <c r="K515" s="1">
        <f>'[1]Electricity and CHPs_IN'!G$56-K384</f>
        <v>7.456492967611787E-4</v>
      </c>
    </row>
    <row r="516" spans="1:11" x14ac:dyDescent="0.25">
      <c r="A516" s="5"/>
      <c r="B516" s="5" t="str">
        <f t="shared" si="303"/>
        <v>SPS3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1">SUM(G517:G518)</f>
        <v>0</v>
      </c>
      <c r="H516" s="1">
        <f t="shared" si="311"/>
        <v>0</v>
      </c>
      <c r="I516" s="1">
        <f t="shared" si="311"/>
        <v>1.6626955607001506</v>
      </c>
      <c r="J516" s="1">
        <f t="shared" si="311"/>
        <v>6.4914500958205223E-2</v>
      </c>
      <c r="K516" s="1">
        <f t="shared" si="311"/>
        <v>2.1979071388645277</v>
      </c>
    </row>
    <row r="517" spans="1:11" x14ac:dyDescent="0.25">
      <c r="A517" s="5"/>
      <c r="B517" s="5" t="str">
        <f t="shared" si="303"/>
        <v>SPS3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1.6615121920194924</v>
      </c>
      <c r="J517" s="1">
        <f>'[1]Electricity and CHPs_IN'!F$46-J397</f>
        <v>6.4274674745894031E-2</v>
      </c>
      <c r="K517" s="1">
        <f>'[1]Electricity and CHPs_IN'!G$46-K397</f>
        <v>2.1972227319545166</v>
      </c>
    </row>
    <row r="518" spans="1:11" x14ac:dyDescent="0.25">
      <c r="A518" s="5"/>
      <c r="B518" s="5" t="str">
        <f t="shared" si="303"/>
        <v>SPS3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1.1833686806581962E-3</v>
      </c>
      <c r="J518" s="1">
        <f>'[1]Electricity and CHPs_IN'!F$57-J398</f>
        <v>6.3982621231119035E-4</v>
      </c>
      <c r="K518" s="1">
        <f>'[1]Electricity and CHPs_IN'!G$57-K398</f>
        <v>6.8440691001118493E-4</v>
      </c>
    </row>
    <row r="519" spans="1:11" x14ac:dyDescent="0.25">
      <c r="A519" s="5"/>
      <c r="B519" s="9" t="str">
        <f t="shared" si="303"/>
        <v>SPS3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tr">
        <f t="shared" si="303"/>
        <v>SPS3</v>
      </c>
      <c r="C520" s="5" t="s">
        <v>7</v>
      </c>
      <c r="D520" t="s">
        <v>242</v>
      </c>
      <c r="E520" s="5" t="s">
        <v>240</v>
      </c>
      <c r="F520" s="13">
        <f t="shared" ref="F520:K520" si="312">IFERROR(F63/F291,"-")</f>
        <v>0.32978920786671112</v>
      </c>
      <c r="G520" s="13">
        <f t="shared" si="312"/>
        <v>0.3267274035625683</v>
      </c>
      <c r="H520" s="13">
        <f t="shared" si="312"/>
        <v>0.32586482635178193</v>
      </c>
      <c r="I520" s="13">
        <f t="shared" si="312"/>
        <v>0.33006697319382888</v>
      </c>
      <c r="J520" s="13">
        <f t="shared" si="312"/>
        <v>0.33170584005147608</v>
      </c>
      <c r="K520" s="13" t="str">
        <f t="shared" si="312"/>
        <v>-</v>
      </c>
    </row>
    <row r="521" spans="1:11" x14ac:dyDescent="0.25">
      <c r="A521" s="5"/>
      <c r="B521" s="5" t="str">
        <f t="shared" si="303"/>
        <v>SPS3</v>
      </c>
      <c r="C521" s="5" t="s">
        <v>7</v>
      </c>
      <c r="D521" t="s">
        <v>243</v>
      </c>
      <c r="E521" s="5" t="s">
        <v>240</v>
      </c>
      <c r="F521" s="13">
        <f t="shared" ref="F521:K523" si="313">IFERROR(F65/F293,"-")</f>
        <v>1</v>
      </c>
      <c r="G521" s="13">
        <f t="shared" si="313"/>
        <v>1</v>
      </c>
      <c r="H521" s="13">
        <f t="shared" si="313"/>
        <v>1</v>
      </c>
      <c r="I521" s="13">
        <f t="shared" si="313"/>
        <v>1</v>
      </c>
      <c r="J521" s="13">
        <f t="shared" si="313"/>
        <v>1</v>
      </c>
      <c r="K521" s="13">
        <f t="shared" si="313"/>
        <v>1</v>
      </c>
    </row>
    <row r="522" spans="1:11" x14ac:dyDescent="0.25">
      <c r="A522" s="5"/>
      <c r="B522" s="5" t="str">
        <f t="shared" si="303"/>
        <v>SPS3</v>
      </c>
      <c r="C522" s="5" t="s">
        <v>7</v>
      </c>
      <c r="D522" t="s">
        <v>244</v>
      </c>
      <c r="E522" s="5" t="s">
        <v>240</v>
      </c>
      <c r="F522" s="13">
        <f t="shared" si="313"/>
        <v>1</v>
      </c>
      <c r="G522" s="13">
        <f t="shared" si="313"/>
        <v>1</v>
      </c>
      <c r="H522" s="13">
        <f t="shared" si="313"/>
        <v>1</v>
      </c>
      <c r="I522" s="13">
        <f t="shared" si="313"/>
        <v>1</v>
      </c>
      <c r="J522" s="13">
        <f t="shared" si="313"/>
        <v>1</v>
      </c>
      <c r="K522" s="13">
        <f t="shared" si="313"/>
        <v>1</v>
      </c>
    </row>
    <row r="523" spans="1:11" x14ac:dyDescent="0.25">
      <c r="A523" s="5"/>
      <c r="B523" s="5" t="str">
        <f t="shared" si="303"/>
        <v>SPS3</v>
      </c>
      <c r="C523" s="5" t="s">
        <v>7</v>
      </c>
      <c r="D523" t="s">
        <v>245</v>
      </c>
      <c r="E523" s="5" t="s">
        <v>240</v>
      </c>
      <c r="F523" s="13">
        <f t="shared" si="313"/>
        <v>0.79999999703551794</v>
      </c>
      <c r="G523" s="13">
        <f t="shared" si="313"/>
        <v>0.79999994807683339</v>
      </c>
      <c r="H523" s="13">
        <f t="shared" si="313"/>
        <v>0.79999997872365525</v>
      </c>
      <c r="I523" s="13">
        <f t="shared" si="313"/>
        <v>0.80000001661811015</v>
      </c>
      <c r="J523" s="13">
        <f t="shared" si="313"/>
        <v>0.80000012564302214</v>
      </c>
      <c r="K523" s="13">
        <f t="shared" si="313"/>
        <v>0.80000010508317454</v>
      </c>
    </row>
    <row r="524" spans="1:11" x14ac:dyDescent="0.25">
      <c r="A524" s="5"/>
      <c r="B524" s="5" t="str">
        <f t="shared" si="303"/>
        <v>SPS3</v>
      </c>
      <c r="C524" s="5" t="s">
        <v>7</v>
      </c>
      <c r="D524" t="s">
        <v>246</v>
      </c>
      <c r="E524" s="5" t="s">
        <v>240</v>
      </c>
      <c r="F524" s="13">
        <f>IFERROR(F69/F297,"-")</f>
        <v>0.32266627275276205</v>
      </c>
      <c r="G524" s="13">
        <f t="shared" ref="G524:K524" si="314">IFERROR(G69/G297,"-")</f>
        <v>0.14147916751849915</v>
      </c>
      <c r="H524" s="13">
        <f t="shared" si="314"/>
        <v>0.27270341536810766</v>
      </c>
      <c r="I524" s="13">
        <f t="shared" si="314"/>
        <v>0.27560074165324439</v>
      </c>
      <c r="J524" s="13">
        <f t="shared" si="314"/>
        <v>0.31355292009728886</v>
      </c>
      <c r="K524" s="13">
        <f t="shared" si="314"/>
        <v>0.29786295201601071</v>
      </c>
    </row>
    <row r="525" spans="1:11" x14ac:dyDescent="0.25">
      <c r="A525" s="5"/>
      <c r="B525" s="5" t="str">
        <f t="shared" si="303"/>
        <v>SPS3</v>
      </c>
      <c r="C525" s="5" t="s">
        <v>7</v>
      </c>
      <c r="D525" t="s">
        <v>247</v>
      </c>
      <c r="E525" s="5" t="s">
        <v>240</v>
      </c>
      <c r="F525" s="13">
        <f>IFERROR(F70/(F298+F411),"-")</f>
        <v>7.5666600960185501E-2</v>
      </c>
      <c r="G525" s="13">
        <f t="shared" ref="G525:K525" si="315">IFERROR(G70/(G298+G411),"-")</f>
        <v>6.5090740529978236E-2</v>
      </c>
      <c r="H525" s="13">
        <f t="shared" si="315"/>
        <v>9.2677027181252356E-2</v>
      </c>
      <c r="I525" s="13">
        <f t="shared" si="315"/>
        <v>9.9943487685005064E-2</v>
      </c>
      <c r="J525" s="13">
        <f t="shared" si="315"/>
        <v>0.10672806755869005</v>
      </c>
      <c r="K525" s="13">
        <f t="shared" si="315"/>
        <v>6.4132599084199049E-2</v>
      </c>
    </row>
    <row r="526" spans="1:11" x14ac:dyDescent="0.25">
      <c r="A526" s="5"/>
      <c r="B526" s="5" t="str">
        <f t="shared" si="303"/>
        <v>SPS3</v>
      </c>
      <c r="C526" s="5" t="s">
        <v>7</v>
      </c>
      <c r="D526" t="s">
        <v>248</v>
      </c>
      <c r="E526" s="5" t="s">
        <v>240</v>
      </c>
      <c r="F526" s="13">
        <f>IFERROR(F71/(F299+F463),"-")</f>
        <v>0.23705673431614332</v>
      </c>
      <c r="G526" s="13">
        <f t="shared" ref="G526:K526" si="316">IFERROR(G71/(G299+G463),"-")</f>
        <v>0.24653646846548008</v>
      </c>
      <c r="H526" s="13">
        <f t="shared" si="316"/>
        <v>0.23876337268631098</v>
      </c>
      <c r="I526" s="13">
        <f t="shared" si="316"/>
        <v>0.26309097263572173</v>
      </c>
      <c r="J526" s="13">
        <f t="shared" si="316"/>
        <v>0.25476992489878397</v>
      </c>
      <c r="K526" s="13">
        <f t="shared" si="316"/>
        <v>0.26135859910694575</v>
      </c>
    </row>
    <row r="527" spans="1:11" x14ac:dyDescent="0.25">
      <c r="A527" s="5"/>
      <c r="B527" s="5" t="str">
        <f t="shared" si="303"/>
        <v>SPS3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17">IFERROR(G81/G309,"-")</f>
        <v>-</v>
      </c>
      <c r="H527" s="13" t="str">
        <f t="shared" si="317"/>
        <v>-</v>
      </c>
      <c r="I527" s="13" t="str">
        <f t="shared" si="317"/>
        <v>-</v>
      </c>
      <c r="J527" s="13">
        <f t="shared" si="317"/>
        <v>0.61091485027653825</v>
      </c>
      <c r="K527" s="13">
        <f t="shared" si="317"/>
        <v>0.62094949999309679</v>
      </c>
    </row>
    <row r="528" spans="1:11" x14ac:dyDescent="0.25">
      <c r="A528" s="5"/>
      <c r="B528" s="5" t="str">
        <f t="shared" si="303"/>
        <v>SPS3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18">IFERROR(G82/G310,"-")</f>
        <v>0.29584193224134853</v>
      </c>
      <c r="H528" s="13">
        <f t="shared" si="318"/>
        <v>0.31671756126606038</v>
      </c>
      <c r="I528" s="13">
        <f t="shared" si="318"/>
        <v>0.36597503695985545</v>
      </c>
      <c r="J528" s="13">
        <f t="shared" si="318"/>
        <v>0.38045862066195374</v>
      </c>
      <c r="K528" s="13">
        <f t="shared" si="318"/>
        <v>0.41861998499700426</v>
      </c>
    </row>
    <row r="529" spans="1:11" x14ac:dyDescent="0.25">
      <c r="A529" s="5"/>
      <c r="B529" s="5" t="str">
        <f t="shared" si="303"/>
        <v>SPS3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19">IFERROR(G83/G311,"-")</f>
        <v>-</v>
      </c>
      <c r="H529" s="13" t="str">
        <f t="shared" si="319"/>
        <v>-</v>
      </c>
      <c r="I529" s="13" t="str">
        <f t="shared" si="319"/>
        <v>-</v>
      </c>
      <c r="J529" s="13">
        <f t="shared" si="319"/>
        <v>0.45075597264772793</v>
      </c>
      <c r="K529" s="13">
        <f t="shared" si="319"/>
        <v>0.54795827311011647</v>
      </c>
    </row>
    <row r="530" spans="1:11" x14ac:dyDescent="0.25">
      <c r="A530" s="5"/>
      <c r="B530" s="5" t="str">
        <f t="shared" si="303"/>
        <v>SPS3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0.26215432676815376</v>
      </c>
      <c r="G530" s="13">
        <f t="shared" ref="G530:K530" si="320">IFERROR(G84/SUM(G312,G417),"-")</f>
        <v>0.21208652183343801</v>
      </c>
      <c r="H530" s="13">
        <f t="shared" si="320"/>
        <v>0.18695711829325304</v>
      </c>
      <c r="I530" s="13">
        <f t="shared" si="320"/>
        <v>0.22612507875792423</v>
      </c>
      <c r="J530" s="13">
        <f t="shared" si="320"/>
        <v>0.24869737077857296</v>
      </c>
      <c r="K530" s="13">
        <f t="shared" si="320"/>
        <v>0.22783222419301841</v>
      </c>
    </row>
    <row r="531" spans="1:11" x14ac:dyDescent="0.25">
      <c r="A531" s="5"/>
      <c r="B531" s="5" t="str">
        <f t="shared" si="303"/>
        <v>SPS3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1">IFERROR(G85/SUM(G313,G418),"-")</f>
        <v>-</v>
      </c>
      <c r="H531" s="13" t="str">
        <f t="shared" si="321"/>
        <v>-</v>
      </c>
      <c r="I531" s="13" t="str">
        <f t="shared" si="321"/>
        <v>-</v>
      </c>
      <c r="J531" s="13">
        <f t="shared" si="321"/>
        <v>0.40000000000000013</v>
      </c>
      <c r="K531" s="13">
        <f t="shared" si="321"/>
        <v>0.40000000000000069</v>
      </c>
    </row>
    <row r="532" spans="1:11" x14ac:dyDescent="0.25">
      <c r="A532" s="5"/>
      <c r="B532" s="5" t="str">
        <f t="shared" si="303"/>
        <v>SPS3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0.34838116858174539</v>
      </c>
      <c r="G532" s="13">
        <f t="shared" ref="G532:K532" si="322">IFERROR(G86/SUM(G314,G469),"-'")</f>
        <v>0.35145621709203689</v>
      </c>
      <c r="H532" s="13">
        <f t="shared" si="322"/>
        <v>0.35029450722008887</v>
      </c>
      <c r="I532" s="13">
        <f t="shared" si="322"/>
        <v>0.35338529741283625</v>
      </c>
      <c r="J532" s="13">
        <f t="shared" si="322"/>
        <v>0.29835278260270304</v>
      </c>
      <c r="K532" s="13">
        <f t="shared" si="322"/>
        <v>0.21765260090548205</v>
      </c>
    </row>
    <row r="533" spans="1:11" x14ac:dyDescent="0.25">
      <c r="A533" s="5"/>
      <c r="B533" s="5" t="str">
        <f t="shared" si="303"/>
        <v>SPS3</v>
      </c>
      <c r="C533" s="5" t="s">
        <v>7</v>
      </c>
      <c r="D533" t="s">
        <v>255</v>
      </c>
      <c r="E533" s="5" t="s">
        <v>240</v>
      </c>
      <c r="F533" s="13" t="str">
        <f t="shared" ref="F533:F541" si="323">IFERROR(F87/SUM(F315,F470),"-")</f>
        <v>-</v>
      </c>
      <c r="G533" s="13" t="str">
        <f t="shared" ref="G533:K533" si="324">IFERROR(G87/SUM(G315,G470),"-")</f>
        <v>-</v>
      </c>
      <c r="H533" s="13" t="str">
        <f t="shared" si="324"/>
        <v>-</v>
      </c>
      <c r="I533" s="13" t="str">
        <f t="shared" si="324"/>
        <v>-</v>
      </c>
      <c r="J533" s="13">
        <f t="shared" si="324"/>
        <v>0.28018052635332863</v>
      </c>
      <c r="K533" s="13">
        <f t="shared" si="324"/>
        <v>0.32209598937641915</v>
      </c>
    </row>
    <row r="534" spans="1:11" x14ac:dyDescent="0.25">
      <c r="A534" s="5"/>
      <c r="B534" s="5" t="str">
        <f t="shared" si="303"/>
        <v>SPS3</v>
      </c>
      <c r="C534" s="5" t="s">
        <v>7</v>
      </c>
      <c r="D534" t="s">
        <v>256</v>
      </c>
      <c r="E534" s="5" t="s">
        <v>240</v>
      </c>
      <c r="F534" s="13" t="str">
        <f t="shared" si="323"/>
        <v>-</v>
      </c>
      <c r="G534" s="13" t="str">
        <f t="shared" ref="G534:K534" si="325">IFERROR(G88/SUM(G316,G471),"-")</f>
        <v>-</v>
      </c>
      <c r="H534" s="13" t="str">
        <f t="shared" si="325"/>
        <v>-</v>
      </c>
      <c r="I534" s="13" t="str">
        <f t="shared" si="325"/>
        <v>-</v>
      </c>
      <c r="J534" s="13" t="str">
        <f t="shared" si="325"/>
        <v>-</v>
      </c>
      <c r="K534" s="13" t="str">
        <f t="shared" si="325"/>
        <v>-</v>
      </c>
    </row>
    <row r="535" spans="1:11" x14ac:dyDescent="0.25">
      <c r="A535" s="5"/>
      <c r="B535" s="5" t="str">
        <f t="shared" si="303"/>
        <v>SPS3</v>
      </c>
      <c r="C535" s="5" t="s">
        <v>7</v>
      </c>
      <c r="D535" t="s">
        <v>257</v>
      </c>
      <c r="E535" s="5" t="s">
        <v>240</v>
      </c>
      <c r="F535" s="13">
        <f t="shared" si="323"/>
        <v>0.20479137317214022</v>
      </c>
      <c r="G535" s="13">
        <f t="shared" ref="G535:K535" si="326">IFERROR(G89/SUM(G317,G472),"-")</f>
        <v>0.26827482421311583</v>
      </c>
      <c r="H535" s="13">
        <f t="shared" si="326"/>
        <v>0.19739433254433486</v>
      </c>
      <c r="I535" s="13">
        <f t="shared" si="326"/>
        <v>0.26620573860638974</v>
      </c>
      <c r="J535" s="13">
        <f t="shared" si="326"/>
        <v>0.25065051942479771</v>
      </c>
      <c r="K535" s="13">
        <f t="shared" si="326"/>
        <v>0.28211083516145202</v>
      </c>
    </row>
    <row r="536" spans="1:11" x14ac:dyDescent="0.25">
      <c r="A536" s="5"/>
      <c r="B536" s="5" t="str">
        <f t="shared" si="303"/>
        <v>SPS3</v>
      </c>
      <c r="C536" s="5" t="s">
        <v>7</v>
      </c>
      <c r="D536" t="s">
        <v>258</v>
      </c>
      <c r="E536" s="5" t="s">
        <v>240</v>
      </c>
      <c r="F536" s="13" t="str">
        <f t="shared" si="323"/>
        <v>-</v>
      </c>
      <c r="G536" s="13" t="str">
        <f t="shared" ref="G536:K536" si="327">IFERROR(G90/SUM(G318,G473),"-")</f>
        <v>-</v>
      </c>
      <c r="H536" s="13" t="str">
        <f t="shared" si="327"/>
        <v>-</v>
      </c>
      <c r="I536" s="13">
        <f t="shared" si="327"/>
        <v>0.42000000000000037</v>
      </c>
      <c r="J536" s="13">
        <f t="shared" si="327"/>
        <v>0.43999999999999972</v>
      </c>
      <c r="K536" s="13">
        <f t="shared" si="327"/>
        <v>0.44999999999999996</v>
      </c>
    </row>
    <row r="537" spans="1:11" x14ac:dyDescent="0.25">
      <c r="A537" s="5"/>
      <c r="B537" s="5" t="str">
        <f t="shared" si="303"/>
        <v>SPS3</v>
      </c>
      <c r="C537" s="5" t="s">
        <v>7</v>
      </c>
      <c r="D537" t="s">
        <v>259</v>
      </c>
      <c r="E537" s="5" t="s">
        <v>240</v>
      </c>
      <c r="F537" s="13">
        <f t="shared" si="323"/>
        <v>0.24289178716347237</v>
      </c>
      <c r="G537" s="13">
        <f t="shared" ref="G537:K537" si="328">IFERROR(G91/SUM(G319,G474),"-")</f>
        <v>0.27728812887905874</v>
      </c>
      <c r="H537" s="13">
        <f t="shared" si="328"/>
        <v>0.22744275488231486</v>
      </c>
      <c r="I537" s="13">
        <f t="shared" si="328"/>
        <v>0.27827527055802603</v>
      </c>
      <c r="J537" s="13">
        <f t="shared" si="328"/>
        <v>0.30358978646536811</v>
      </c>
      <c r="K537" s="13">
        <f t="shared" si="328"/>
        <v>0.30953987707113123</v>
      </c>
    </row>
    <row r="538" spans="1:11" x14ac:dyDescent="0.25">
      <c r="A538" s="5"/>
      <c r="B538" s="5" t="str">
        <f t="shared" si="303"/>
        <v>SPS3</v>
      </c>
      <c r="C538" s="5" t="s">
        <v>7</v>
      </c>
      <c r="D538" t="s">
        <v>260</v>
      </c>
      <c r="E538" s="5" t="s">
        <v>240</v>
      </c>
      <c r="F538" s="13" t="str">
        <f t="shared" si="323"/>
        <v>-</v>
      </c>
      <c r="G538" s="13" t="str">
        <f t="shared" ref="G538:K538" si="329">IFERROR(G92/SUM(G320,G475),"-")</f>
        <v>-</v>
      </c>
      <c r="H538" s="13" t="str">
        <f t="shared" si="329"/>
        <v>-</v>
      </c>
      <c r="I538" s="13">
        <f t="shared" si="329"/>
        <v>0.42000000000000004</v>
      </c>
      <c r="J538" s="13">
        <f t="shared" si="329"/>
        <v>0.43999999999999984</v>
      </c>
      <c r="K538" s="13">
        <f t="shared" si="329"/>
        <v>0.44999999999999957</v>
      </c>
    </row>
    <row r="539" spans="1:11" x14ac:dyDescent="0.25">
      <c r="A539" s="5"/>
      <c r="B539" s="5" t="str">
        <f t="shared" si="303"/>
        <v>SPS3</v>
      </c>
      <c r="C539" s="5" t="s">
        <v>7</v>
      </c>
      <c r="D539" t="s">
        <v>261</v>
      </c>
      <c r="E539" s="5" t="s">
        <v>240</v>
      </c>
      <c r="F539" s="13">
        <f t="shared" si="323"/>
        <v>0.36265487157788495</v>
      </c>
      <c r="G539" s="13">
        <f t="shared" ref="G539:K539" si="330">IFERROR(G93/SUM(G321,G476),"-")</f>
        <v>0.36302211300593223</v>
      </c>
      <c r="H539" s="13">
        <f t="shared" si="330"/>
        <v>0.36337118822669845</v>
      </c>
      <c r="I539" s="13">
        <f t="shared" si="330"/>
        <v>0.36473314948812935</v>
      </c>
      <c r="J539" s="13">
        <f t="shared" si="330"/>
        <v>0.37490701032153462</v>
      </c>
      <c r="K539" s="13">
        <f t="shared" si="330"/>
        <v>0.38515942129568131</v>
      </c>
    </row>
    <row r="540" spans="1:11" x14ac:dyDescent="0.25">
      <c r="A540" s="5"/>
      <c r="B540" s="5" t="str">
        <f t="shared" si="303"/>
        <v>SPS3</v>
      </c>
      <c r="C540" s="5" t="s">
        <v>7</v>
      </c>
      <c r="D540" t="s">
        <v>262</v>
      </c>
      <c r="E540" s="5" t="s">
        <v>240</v>
      </c>
      <c r="F540" s="13">
        <f t="shared" si="323"/>
        <v>0.35618084157089108</v>
      </c>
      <c r="G540" s="13">
        <f t="shared" ref="G540:K540" si="331">IFERROR(G94/SUM(G322,G477),"-")</f>
        <v>0.3599599305150063</v>
      </c>
      <c r="H540" s="13">
        <f t="shared" si="331"/>
        <v>0.22395082294419613</v>
      </c>
      <c r="I540" s="13">
        <f t="shared" si="331"/>
        <v>0.31752866733108737</v>
      </c>
      <c r="J540" s="13">
        <f t="shared" si="331"/>
        <v>0.34132792413790991</v>
      </c>
      <c r="K540" s="13">
        <f t="shared" si="331"/>
        <v>0.29887352048940014</v>
      </c>
    </row>
    <row r="541" spans="1:11" x14ac:dyDescent="0.25">
      <c r="A541" s="5"/>
      <c r="B541" s="5" t="str">
        <f t="shared" si="303"/>
        <v>SPS3</v>
      </c>
      <c r="C541" s="5" t="s">
        <v>7</v>
      </c>
      <c r="D541" t="s">
        <v>263</v>
      </c>
      <c r="E541" s="5" t="s">
        <v>240</v>
      </c>
      <c r="F541" s="13" t="str">
        <f t="shared" si="323"/>
        <v>-</v>
      </c>
      <c r="G541" s="13" t="str">
        <f t="shared" ref="G541:K541" si="332">IFERROR(G95/SUM(G323,G478),"-")</f>
        <v>-</v>
      </c>
      <c r="H541" s="13" t="str">
        <f t="shared" si="332"/>
        <v>-</v>
      </c>
      <c r="I541" s="13">
        <f t="shared" si="332"/>
        <v>0.60000000000000031</v>
      </c>
      <c r="J541" s="13">
        <f t="shared" si="332"/>
        <v>0.61000000000000032</v>
      </c>
      <c r="K541" s="13">
        <f t="shared" si="332"/>
        <v>0.62000000000000033</v>
      </c>
    </row>
    <row r="542" spans="1:11" x14ac:dyDescent="0.25">
      <c r="B542" s="5" t="str">
        <f t="shared" si="303"/>
        <v>SPS3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0.35745695376016606</v>
      </c>
      <c r="G542" s="13">
        <f t="shared" ref="G542:K542" si="333">IFERROR(G129/G357,"-")</f>
        <v>0.35745695376016612</v>
      </c>
      <c r="H542" s="13">
        <f t="shared" si="333"/>
        <v>0.35745695376016601</v>
      </c>
      <c r="I542" s="13">
        <f t="shared" si="333"/>
        <v>0.35745695376016623</v>
      </c>
      <c r="J542" s="13">
        <f t="shared" si="333"/>
        <v>0.35745695376016612</v>
      </c>
      <c r="K542" s="13">
        <f t="shared" si="333"/>
        <v>0.3574569537601659</v>
      </c>
    </row>
    <row r="543" spans="1:11" x14ac:dyDescent="0.25">
      <c r="B543" s="5" t="str">
        <f t="shared" si="303"/>
        <v>SPS3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4">IFERROR(G130/G358,"-")</f>
        <v>-</v>
      </c>
      <c r="H543" s="13" t="str">
        <f t="shared" si="334"/>
        <v>-</v>
      </c>
      <c r="I543" s="13" t="str">
        <f t="shared" si="334"/>
        <v>-</v>
      </c>
      <c r="J543" s="13">
        <f t="shared" si="334"/>
        <v>0.33470839322286877</v>
      </c>
      <c r="K543" s="13">
        <f t="shared" si="334"/>
        <v>0.3414025610873262</v>
      </c>
    </row>
    <row r="544" spans="1:11" x14ac:dyDescent="0.25">
      <c r="B544" s="5" t="str">
        <f t="shared" si="303"/>
        <v>SPS3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3.8247621848671649E-2</v>
      </c>
      <c r="G544" s="13">
        <f t="shared" ref="G544:K544" si="335">IFERROR(G131/SUM(G359,G426),"-")</f>
        <v>3.7778334540570113E-2</v>
      </c>
      <c r="H544" s="13">
        <f t="shared" si="335"/>
        <v>3.8072392104101856E-2</v>
      </c>
      <c r="I544" s="13">
        <f t="shared" si="335"/>
        <v>3.6304822660441244E-2</v>
      </c>
      <c r="J544" s="13">
        <f t="shared" si="335"/>
        <v>3.6170089294134698E-2</v>
      </c>
      <c r="K544" s="13">
        <f t="shared" si="335"/>
        <v>2.5288563189476639E-2</v>
      </c>
    </row>
    <row r="545" spans="2:11" x14ac:dyDescent="0.25">
      <c r="B545" s="5" t="str">
        <f t="shared" si="303"/>
        <v>SPS3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36">IFERROR(G132/SUM(G360,G427),"-")</f>
        <v>-</v>
      </c>
      <c r="H545" s="13" t="str">
        <f t="shared" si="336"/>
        <v>-</v>
      </c>
      <c r="I545" s="13" t="str">
        <f t="shared" si="336"/>
        <v>-</v>
      </c>
      <c r="J545" s="13">
        <f t="shared" si="336"/>
        <v>4.8242849883234851E-2</v>
      </c>
      <c r="K545" s="13">
        <f t="shared" si="336"/>
        <v>5.4000000000000034E-2</v>
      </c>
    </row>
    <row r="546" spans="2:11" x14ac:dyDescent="0.25">
      <c r="B546" s="5" t="str">
        <f t="shared" si="303"/>
        <v>SPS3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6.1973179381432875E-2</v>
      </c>
      <c r="G546" s="13">
        <f t="shared" ref="G546:K546" si="337">IFERROR(G133/SUM(G361,G502),"-")</f>
        <v>6.1972875990932805E-2</v>
      </c>
      <c r="H546" s="13">
        <f t="shared" si="337"/>
        <v>6.1972650567355229E-2</v>
      </c>
      <c r="I546" s="13">
        <f t="shared" si="337"/>
        <v>6.1972650567355264E-2</v>
      </c>
      <c r="J546" s="13">
        <f t="shared" si="337"/>
        <v>6.1972650567355278E-2</v>
      </c>
      <c r="K546" s="13">
        <f t="shared" si="337"/>
        <v>6.1972650567355257E-2</v>
      </c>
    </row>
    <row r="547" spans="2:11" x14ac:dyDescent="0.25">
      <c r="B547" s="5" t="str">
        <f t="shared" si="303"/>
        <v>SPS3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38">IFERROR(G134/SUM(G362,G503),"-")</f>
        <v>-</v>
      </c>
      <c r="H547" s="13" t="str">
        <f t="shared" si="338"/>
        <v>-</v>
      </c>
      <c r="I547" s="13" t="str">
        <f t="shared" si="338"/>
        <v>-</v>
      </c>
      <c r="J547" s="13">
        <f t="shared" si="338"/>
        <v>4.7880823847050433E-2</v>
      </c>
      <c r="K547" s="13">
        <f t="shared" si="338"/>
        <v>4.5431760215214251E-2</v>
      </c>
    </row>
    <row r="548" spans="2:11" x14ac:dyDescent="0.25">
      <c r="B548" s="5" t="str">
        <f t="shared" si="303"/>
        <v>SPS3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0.2438459688559361</v>
      </c>
      <c r="G548" s="13">
        <f t="shared" ref="G548:K548" si="339">IFERROR(G150/SUM(G378,G435),"-")</f>
        <v>0.24950242317658766</v>
      </c>
      <c r="H548" s="13">
        <f t="shared" si="339"/>
        <v>0.24395784410909227</v>
      </c>
      <c r="I548" s="13">
        <f t="shared" si="339"/>
        <v>0.27484445772299104</v>
      </c>
      <c r="J548" s="13">
        <f t="shared" si="339"/>
        <v>0.30590620674384589</v>
      </c>
      <c r="K548" s="13">
        <f t="shared" si="339"/>
        <v>0.30608676561603049</v>
      </c>
    </row>
    <row r="549" spans="2:11" x14ac:dyDescent="0.25">
      <c r="B549" s="5" t="str">
        <f t="shared" si="303"/>
        <v>SPS3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0">IFERROR(G151/G379,"-")</f>
        <v>-</v>
      </c>
      <c r="H549" s="13" t="str">
        <f t="shared" si="340"/>
        <v>-</v>
      </c>
      <c r="I549" s="13" t="str">
        <f t="shared" si="340"/>
        <v>-</v>
      </c>
      <c r="J549" s="13">
        <f t="shared" si="340"/>
        <v>0.15593813259399569</v>
      </c>
      <c r="K549" s="13">
        <f t="shared" si="340"/>
        <v>0.26450105619925435</v>
      </c>
    </row>
    <row r="550" spans="2:11" x14ac:dyDescent="0.25">
      <c r="B550" s="5" t="str">
        <f t="shared" si="303"/>
        <v>SPS3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0.19753486677131213</v>
      </c>
      <c r="G550" s="13">
        <f t="shared" ref="G550:K550" si="341">IFERROR(G152/SUM(G380,G511),"-")</f>
        <v>0.22579610169531864</v>
      </c>
      <c r="H550" s="13">
        <f t="shared" si="341"/>
        <v>0.23360989367523907</v>
      </c>
      <c r="I550" s="13">
        <f t="shared" si="341"/>
        <v>0.33837488482124894</v>
      </c>
      <c r="J550" s="13">
        <f t="shared" si="341"/>
        <v>0.35272657358329962</v>
      </c>
      <c r="K550" s="13">
        <f t="shared" si="341"/>
        <v>0.36737202050226053</v>
      </c>
    </row>
    <row r="551" spans="2:11" x14ac:dyDescent="0.25">
      <c r="B551" s="5" t="str">
        <f t="shared" si="303"/>
        <v>SPS3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2">IFERROR(G153/SUM(G381,G512),"-")</f>
        <v>-</v>
      </c>
      <c r="H551" s="13" t="str">
        <f t="shared" si="342"/>
        <v>-</v>
      </c>
      <c r="I551" s="13" t="str">
        <f t="shared" si="342"/>
        <v>-</v>
      </c>
      <c r="J551" s="13">
        <f t="shared" si="342"/>
        <v>0.33134689752247348</v>
      </c>
      <c r="K551" s="13">
        <f t="shared" si="342"/>
        <v>0.3490580167649685</v>
      </c>
    </row>
    <row r="552" spans="2:11" x14ac:dyDescent="0.25">
      <c r="B552" s="5" t="str">
        <f t="shared" si="303"/>
        <v>SPS3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3">IFERROR(G154/SUM(G382,G513),"-")</f>
        <v>-</v>
      </c>
      <c r="H552" s="13" t="str">
        <f t="shared" si="343"/>
        <v>-</v>
      </c>
      <c r="I552" s="13">
        <f t="shared" si="343"/>
        <v>0.22670972074818185</v>
      </c>
      <c r="J552" s="13">
        <f t="shared" si="343"/>
        <v>0.19747988825898821</v>
      </c>
      <c r="K552" s="13">
        <f t="shared" si="343"/>
        <v>0.24070627043399145</v>
      </c>
    </row>
    <row r="553" spans="2:11" x14ac:dyDescent="0.25">
      <c r="B553" s="5" t="str">
        <f t="shared" si="303"/>
        <v>SPS3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4">IFERROR(G155/SUM(G383,G514),"-")</f>
        <v>-</v>
      </c>
      <c r="H553" s="13" t="str">
        <f t="shared" si="344"/>
        <v>-</v>
      </c>
      <c r="I553" s="13">
        <f t="shared" si="344"/>
        <v>0.25711605785122732</v>
      </c>
      <c r="J553" s="13">
        <f t="shared" si="344"/>
        <v>0.23836251226731855</v>
      </c>
      <c r="K553" s="13">
        <f t="shared" si="344"/>
        <v>0.27256945224750517</v>
      </c>
    </row>
    <row r="554" spans="2:11" x14ac:dyDescent="0.25">
      <c r="B554" s="5" t="str">
        <f t="shared" si="303"/>
        <v>SPS3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45">IFERROR(G156/SUM(G384,G515),"-")</f>
        <v>-</v>
      </c>
      <c r="H554" s="13" t="str">
        <f t="shared" si="345"/>
        <v>-</v>
      </c>
      <c r="I554" s="13">
        <f t="shared" si="345"/>
        <v>0.28003621778074078</v>
      </c>
      <c r="J554" s="13">
        <f t="shared" si="345"/>
        <v>0.26154497120140069</v>
      </c>
      <c r="K554" s="13">
        <f t="shared" si="345"/>
        <v>0.30845450967375959</v>
      </c>
    </row>
    <row r="555" spans="2:11" x14ac:dyDescent="0.25">
      <c r="B555" s="5" t="str">
        <f t="shared" si="303"/>
        <v>SPS3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tr">
        <f t="shared" si="303"/>
        <v>SPS3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tr">
        <f t="shared" si="303"/>
        <v>SPS3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tr">
        <f t="shared" si="303"/>
        <v>SPS3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tr">
        <f t="shared" si="303"/>
        <v>SPS3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tr">
        <f t="shared" si="303"/>
        <v>SPS3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tr">
        <f t="shared" si="303"/>
        <v>SPS3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46">IFERROR(G166/G394,"-")</f>
        <v>-</v>
      </c>
      <c r="H561" s="13" t="str">
        <f t="shared" si="346"/>
        <v>-</v>
      </c>
      <c r="I561" s="13" t="str">
        <f t="shared" si="346"/>
        <v>-</v>
      </c>
      <c r="J561" s="13" t="str">
        <f t="shared" si="346"/>
        <v>-</v>
      </c>
      <c r="K561" s="13" t="str">
        <f t="shared" si="346"/>
        <v>-</v>
      </c>
    </row>
    <row r="562" spans="2:11" x14ac:dyDescent="0.25">
      <c r="B562" s="5" t="str">
        <f t="shared" si="303"/>
        <v>SPS3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47">IFERROR(G168/SUM(G396,G437),"-")</f>
        <v>-</v>
      </c>
      <c r="H562" s="13" t="str">
        <f t="shared" si="347"/>
        <v>-</v>
      </c>
      <c r="I562" s="13" t="str">
        <f t="shared" si="347"/>
        <v>-</v>
      </c>
      <c r="J562" s="13">
        <f t="shared" si="347"/>
        <v>0.42000000000000037</v>
      </c>
      <c r="K562" s="13">
        <f t="shared" si="347"/>
        <v>0.41999999999999954</v>
      </c>
    </row>
    <row r="563" spans="2:11" x14ac:dyDescent="0.25">
      <c r="B563" s="5" t="str">
        <f t="shared" si="303"/>
        <v>SPS3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48">IFERROR(G169/SUM(G397,G517),"-")</f>
        <v>-</v>
      </c>
      <c r="H563" s="13" t="str">
        <f t="shared" si="348"/>
        <v>-</v>
      </c>
      <c r="I563" s="13">
        <f t="shared" si="348"/>
        <v>0.49499999999999961</v>
      </c>
      <c r="J563" s="13">
        <f t="shared" si="348"/>
        <v>0.55000000000000016</v>
      </c>
      <c r="K563" s="13">
        <f t="shared" si="348"/>
        <v>0.60000000000000009</v>
      </c>
    </row>
    <row r="564" spans="2:11" x14ac:dyDescent="0.25">
      <c r="B564" s="5" t="str">
        <f t="shared" ref="B564:B627" si="349">B563</f>
        <v>SPS3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0">IFERROR(G170/SUM(G398,G518),"-")</f>
        <v>-</v>
      </c>
      <c r="H564" s="13" t="str">
        <f t="shared" si="350"/>
        <v>-</v>
      </c>
      <c r="I564" s="13">
        <f t="shared" si="350"/>
        <v>0.47499999999999926</v>
      </c>
      <c r="J564" s="13">
        <f t="shared" si="350"/>
        <v>0.53971267903473596</v>
      </c>
      <c r="K564" s="13">
        <f t="shared" si="350"/>
        <v>0.57499340084355333</v>
      </c>
    </row>
    <row r="565" spans="2:11" x14ac:dyDescent="0.25">
      <c r="B565" s="5" t="str">
        <f t="shared" si="349"/>
        <v>SPS3</v>
      </c>
      <c r="C565" s="5" t="s">
        <v>7</v>
      </c>
      <c r="D565" t="s">
        <v>286</v>
      </c>
      <c r="E565" s="5" t="s">
        <v>240</v>
      </c>
      <c r="F565" s="13">
        <f t="shared" ref="F565:K571" si="351">IFERROR(F172/F400,"-")</f>
        <v>0.69996054682056241</v>
      </c>
      <c r="G565" s="13">
        <f t="shared" si="351"/>
        <v>0.6997910506293995</v>
      </c>
      <c r="H565" s="13">
        <f t="shared" si="351"/>
        <v>0.69999352679023286</v>
      </c>
      <c r="I565" s="13">
        <f t="shared" si="351"/>
        <v>0.69999322000035769</v>
      </c>
      <c r="J565" s="13">
        <f t="shared" si="351"/>
        <v>0.69995191211367902</v>
      </c>
      <c r="K565" s="13">
        <f t="shared" si="351"/>
        <v>0.69996002732164131</v>
      </c>
    </row>
    <row r="566" spans="2:11" x14ac:dyDescent="0.25">
      <c r="B566" s="5" t="str">
        <f t="shared" si="349"/>
        <v>SPS3</v>
      </c>
      <c r="C566" s="5" t="s">
        <v>7</v>
      </c>
      <c r="D566" t="s">
        <v>287</v>
      </c>
      <c r="E566" s="5" t="s">
        <v>240</v>
      </c>
      <c r="F566" s="13">
        <f t="shared" si="351"/>
        <v>0.86570246291968056</v>
      </c>
      <c r="G566" s="13">
        <f t="shared" si="351"/>
        <v>0.86609337885312221</v>
      </c>
      <c r="H566" s="13">
        <f t="shared" si="351"/>
        <v>0.86691839800002901</v>
      </c>
      <c r="I566" s="13">
        <f t="shared" si="351"/>
        <v>0.86691296694859021</v>
      </c>
      <c r="J566" s="13">
        <f t="shared" si="351"/>
        <v>0.86703650739394422</v>
      </c>
      <c r="K566" s="13">
        <f t="shared" si="351"/>
        <v>0.86703827903224673</v>
      </c>
    </row>
    <row r="567" spans="2:11" x14ac:dyDescent="0.25">
      <c r="B567" s="5" t="str">
        <f t="shared" si="349"/>
        <v>SPS3</v>
      </c>
      <c r="C567" s="5" t="s">
        <v>7</v>
      </c>
      <c r="D567" t="s">
        <v>288</v>
      </c>
      <c r="E567" s="5" t="s">
        <v>240</v>
      </c>
      <c r="F567" s="13">
        <f t="shared" si="351"/>
        <v>0.89418560196211372</v>
      </c>
      <c r="G567" s="13">
        <f t="shared" si="351"/>
        <v>0.89424123111745513</v>
      </c>
      <c r="H567" s="13">
        <f t="shared" si="351"/>
        <v>0.89414901376293332</v>
      </c>
      <c r="I567" s="13">
        <f t="shared" si="351"/>
        <v>0.89411700571705488</v>
      </c>
      <c r="J567" s="13">
        <f t="shared" si="351"/>
        <v>0.89426164538495612</v>
      </c>
      <c r="K567" s="13">
        <f t="shared" si="351"/>
        <v>0.89426158816346579</v>
      </c>
    </row>
    <row r="568" spans="2:11" x14ac:dyDescent="0.25">
      <c r="B568" s="5" t="str">
        <f t="shared" si="349"/>
        <v>SPS3</v>
      </c>
      <c r="C568" s="5" t="s">
        <v>7</v>
      </c>
      <c r="D568" t="s">
        <v>289</v>
      </c>
      <c r="E568" s="5" t="s">
        <v>240</v>
      </c>
      <c r="F568" s="13">
        <f t="shared" si="351"/>
        <v>0.90245863166470375</v>
      </c>
      <c r="G568" s="13">
        <f t="shared" si="351"/>
        <v>0.90254111270695736</v>
      </c>
      <c r="H568" s="13">
        <f t="shared" si="351"/>
        <v>0.90399778798912689</v>
      </c>
      <c r="I568" s="13">
        <f t="shared" si="351"/>
        <v>0.90420066511116715</v>
      </c>
      <c r="J568" s="13">
        <f t="shared" si="351"/>
        <v>0.90422337057609392</v>
      </c>
      <c r="K568" s="13">
        <f t="shared" si="351"/>
        <v>0.90422030967765399</v>
      </c>
    </row>
    <row r="569" spans="2:11" x14ac:dyDescent="0.25">
      <c r="B569" s="5" t="str">
        <f t="shared" si="349"/>
        <v>SPS3</v>
      </c>
      <c r="C569" s="5" t="s">
        <v>7</v>
      </c>
      <c r="D569" t="s">
        <v>1855</v>
      </c>
      <c r="E569" s="5" t="s">
        <v>240</v>
      </c>
      <c r="F569" s="13">
        <f t="shared" si="351"/>
        <v>0.90271312189548503</v>
      </c>
      <c r="G569" s="13">
        <f t="shared" si="351"/>
        <v>0.90279052870695753</v>
      </c>
      <c r="H569" s="13">
        <f t="shared" si="351"/>
        <v>0.90403511174590689</v>
      </c>
      <c r="I569" s="13">
        <f t="shared" si="351"/>
        <v>0.90426681036623979</v>
      </c>
      <c r="J569" s="13">
        <f t="shared" si="351"/>
        <v>0.90426690972444745</v>
      </c>
      <c r="K569" s="13">
        <f t="shared" si="351"/>
        <v>0.90426577518544649</v>
      </c>
    </row>
    <row r="570" spans="2:11" x14ac:dyDescent="0.25">
      <c r="B570" s="5" t="str">
        <f t="shared" si="349"/>
        <v>SPS3</v>
      </c>
      <c r="C570" s="5" t="s">
        <v>7</v>
      </c>
      <c r="D570" t="s">
        <v>290</v>
      </c>
      <c r="E570" s="5" t="s">
        <v>240</v>
      </c>
      <c r="F570" s="13">
        <f t="shared" si="351"/>
        <v>0.90271435486453333</v>
      </c>
      <c r="G570" s="13">
        <f t="shared" si="351"/>
        <v>0.90279291306310461</v>
      </c>
      <c r="H570" s="13">
        <f t="shared" si="351"/>
        <v>0.90403531039707352</v>
      </c>
      <c r="I570" s="13">
        <f t="shared" si="351"/>
        <v>0.90426692629591299</v>
      </c>
      <c r="J570" s="13">
        <f t="shared" si="351"/>
        <v>0.9042669350845548</v>
      </c>
      <c r="K570" s="13">
        <f t="shared" si="351"/>
        <v>0.90426577557264509</v>
      </c>
    </row>
    <row r="571" spans="2:11" x14ac:dyDescent="0.25">
      <c r="B571" s="5" t="str">
        <f t="shared" si="349"/>
        <v>SPS3</v>
      </c>
      <c r="C571" s="5" t="s">
        <v>7</v>
      </c>
      <c r="D571" t="s">
        <v>291</v>
      </c>
      <c r="E571" s="5" t="s">
        <v>240</v>
      </c>
      <c r="F571" s="13">
        <f t="shared" si="351"/>
        <v>0.9024660199214728</v>
      </c>
      <c r="G571" s="13">
        <f t="shared" si="351"/>
        <v>0.90255673278430304</v>
      </c>
      <c r="H571" s="13">
        <f t="shared" si="351"/>
        <v>0.90371358261086299</v>
      </c>
      <c r="I571" s="13">
        <f t="shared" si="351"/>
        <v>0.90419697608549798</v>
      </c>
      <c r="J571" s="13">
        <f t="shared" si="351"/>
        <v>0.9042241176236363</v>
      </c>
      <c r="K571" s="13">
        <f t="shared" si="351"/>
        <v>0.90421512860220454</v>
      </c>
    </row>
    <row r="572" spans="2:11" x14ac:dyDescent="0.25">
      <c r="B572" s="9" t="str">
        <f t="shared" si="349"/>
        <v>SPS3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tr">
        <f t="shared" si="349"/>
        <v>SPS3</v>
      </c>
      <c r="C573" s="5" t="s">
        <v>7</v>
      </c>
      <c r="D573" t="s">
        <v>297</v>
      </c>
      <c r="E573" s="5" t="s">
        <v>240</v>
      </c>
      <c r="F573" s="4">
        <f>IFERROR(F210/F440,"-")</f>
        <v>0.59933749686775906</v>
      </c>
      <c r="G573" s="4">
        <f t="shared" ref="G573:K573" si="352">IFERROR(G210/G440,"-")</f>
        <v>0.64012021149858789</v>
      </c>
      <c r="H573" s="4">
        <f t="shared" si="352"/>
        <v>0.85409530474594786</v>
      </c>
      <c r="I573" s="4">
        <f t="shared" si="352"/>
        <v>0.63424382889818109</v>
      </c>
      <c r="J573" s="4">
        <f t="shared" si="352"/>
        <v>0.48589197170919401</v>
      </c>
      <c r="K573" s="4">
        <f t="shared" si="352"/>
        <v>0.3816584835712955</v>
      </c>
    </row>
    <row r="574" spans="2:11" x14ac:dyDescent="0.25">
      <c r="B574" s="5" t="str">
        <f t="shared" si="349"/>
        <v>SPS3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3">IFERROR(G216/G446,"-")</f>
        <v>1</v>
      </c>
      <c r="H574" s="4">
        <f t="shared" si="353"/>
        <v>1</v>
      </c>
      <c r="I574" s="4">
        <f t="shared" si="353"/>
        <v>1</v>
      </c>
      <c r="J574" s="4" t="str">
        <f t="shared" si="353"/>
        <v>-</v>
      </c>
      <c r="K574" s="4" t="str">
        <f t="shared" si="353"/>
        <v>-</v>
      </c>
    </row>
    <row r="575" spans="2:11" x14ac:dyDescent="0.25">
      <c r="B575" s="5" t="str">
        <f t="shared" si="349"/>
        <v>SPS3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0.85445501111132449</v>
      </c>
      <c r="G575" s="4">
        <f t="shared" ref="G575:K575" si="354">IFERROR(G218/G448,"-")</f>
        <v>0.85445501111132505</v>
      </c>
      <c r="H575" s="4">
        <f t="shared" si="354"/>
        <v>0.85445501111132616</v>
      </c>
      <c r="I575" s="4">
        <f t="shared" si="354"/>
        <v>0.85445501111132538</v>
      </c>
      <c r="J575" s="4">
        <f t="shared" si="354"/>
        <v>0.85445501111132394</v>
      </c>
      <c r="K575" s="4" t="str">
        <f t="shared" si="354"/>
        <v>-</v>
      </c>
    </row>
    <row r="576" spans="2:11" x14ac:dyDescent="0.25">
      <c r="B576" s="5" t="str">
        <f t="shared" si="349"/>
        <v>SPS3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0.69999999999999984</v>
      </c>
      <c r="G576" s="4">
        <f t="shared" ref="G576:K576" si="355">IFERROR(G224/G454,"-")</f>
        <v>0.70000000000000018</v>
      </c>
      <c r="H576" s="4">
        <f t="shared" si="355"/>
        <v>0.69999999999999984</v>
      </c>
      <c r="I576" s="4">
        <f t="shared" si="355"/>
        <v>0.69999999999999962</v>
      </c>
      <c r="J576" s="4">
        <f t="shared" si="355"/>
        <v>0.70000000000000062</v>
      </c>
      <c r="K576" s="4">
        <f t="shared" si="355"/>
        <v>0.70000000000000084</v>
      </c>
    </row>
    <row r="577" spans="2:11" x14ac:dyDescent="0.25">
      <c r="B577" s="5" t="str">
        <f t="shared" si="349"/>
        <v>SPS3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56">IFERROR(G226/G456,"-")</f>
        <v>-</v>
      </c>
      <c r="H577" t="str">
        <f t="shared" si="356"/>
        <v>-</v>
      </c>
      <c r="I577">
        <f t="shared" si="356"/>
        <v>1</v>
      </c>
      <c r="J577">
        <f t="shared" si="356"/>
        <v>1</v>
      </c>
      <c r="K577">
        <f t="shared" si="356"/>
        <v>1</v>
      </c>
    </row>
    <row r="578" spans="2:11" x14ac:dyDescent="0.25">
      <c r="B578" s="5" t="str">
        <f t="shared" si="349"/>
        <v>SPS3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57">IFERROR(G228/G458,"-")</f>
        <v>-</v>
      </c>
      <c r="H578" t="str">
        <f t="shared" si="357"/>
        <v>-</v>
      </c>
      <c r="I578" t="str">
        <f t="shared" si="357"/>
        <v>-</v>
      </c>
      <c r="J578">
        <f t="shared" si="357"/>
        <v>0.85000000000000042</v>
      </c>
      <c r="K578">
        <f t="shared" si="357"/>
        <v>0.85000000000000009</v>
      </c>
    </row>
    <row r="579" spans="2:11" x14ac:dyDescent="0.25">
      <c r="B579" s="5" t="str">
        <f t="shared" si="349"/>
        <v>SPS3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58">IFERROR(G230/G460,"-")</f>
        <v>2.8999999999999977</v>
      </c>
      <c r="H579" s="4">
        <f t="shared" si="358"/>
        <v>2.8999999999999981</v>
      </c>
      <c r="I579" s="4">
        <f t="shared" si="358"/>
        <v>2.900000000000003</v>
      </c>
      <c r="J579" s="4">
        <f t="shared" si="358"/>
        <v>2.8999999999999986</v>
      </c>
      <c r="K579" s="4">
        <f t="shared" si="358"/>
        <v>2.9000000000000012</v>
      </c>
    </row>
    <row r="580" spans="2:11" x14ac:dyDescent="0.25">
      <c r="B580" s="9" t="str">
        <f t="shared" si="349"/>
        <v>SPS3</v>
      </c>
      <c r="C580" s="9" t="s">
        <v>7</v>
      </c>
      <c r="D580" s="2" t="s">
        <v>303</v>
      </c>
      <c r="E580" s="9" t="s">
        <v>8</v>
      </c>
      <c r="F580" s="3">
        <f>[1]Other_transformation!B$5</f>
        <v>0.39014874990206017</v>
      </c>
      <c r="G580" s="3">
        <f>[1]Other_transformation!C$5</f>
        <v>0.27810639114744401</v>
      </c>
      <c r="H580" s="3">
        <f>[1]Other_transformation!D$5</f>
        <v>4.7595501070132944E-4</v>
      </c>
      <c r="I580" s="3">
        <f>[1]Other_transformation!E$5</f>
        <v>3.2278511193319288E-4</v>
      </c>
      <c r="J580" s="3">
        <f>[1]Other_transformation!F$5</f>
        <v>3.697956095586166E-4</v>
      </c>
      <c r="K580" s="3">
        <f>[1]Other_transformation!G$5</f>
        <v>4.7036086951125387E-4</v>
      </c>
    </row>
    <row r="581" spans="2:11" x14ac:dyDescent="0.25">
      <c r="B581" s="5" t="str">
        <f t="shared" si="349"/>
        <v>SPS3</v>
      </c>
      <c r="C581" s="5" t="s">
        <v>7</v>
      </c>
      <c r="D581" t="s">
        <v>903</v>
      </c>
      <c r="E581" s="5" t="s">
        <v>8</v>
      </c>
      <c r="F581" s="1">
        <f>F580</f>
        <v>0.39014874990206017</v>
      </c>
      <c r="G581" s="1">
        <f t="shared" ref="G581:K581" si="359">G580</f>
        <v>0.27810639114744401</v>
      </c>
      <c r="H581" s="1">
        <f t="shared" si="359"/>
        <v>4.7595501070132944E-4</v>
      </c>
      <c r="I581" s="1">
        <f t="shared" si="359"/>
        <v>3.2278511193319288E-4</v>
      </c>
      <c r="J581" s="1">
        <f t="shared" si="359"/>
        <v>3.697956095586166E-4</v>
      </c>
      <c r="K581" s="1">
        <f t="shared" si="359"/>
        <v>4.7036086951125387E-4</v>
      </c>
    </row>
    <row r="582" spans="2:11" x14ac:dyDescent="0.25">
      <c r="B582" s="5" t="str">
        <f t="shared" si="349"/>
        <v>SPS3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0.39014874990206017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0.27810639114744401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4.7595501070132944E-4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3.2278511193319288E-4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2.464990207724582E-4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6.4936838398666481E-5</v>
      </c>
    </row>
    <row r="583" spans="2:11" x14ac:dyDescent="0.25">
      <c r="B583" s="5" t="str">
        <f t="shared" si="349"/>
        <v>SPS3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1.2329658878615843E-4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4.0542403111258737E-4</v>
      </c>
    </row>
    <row r="584" spans="2:11" x14ac:dyDescent="0.25">
      <c r="B584" s="9" t="str">
        <f t="shared" si="349"/>
        <v>SPS3</v>
      </c>
      <c r="C584" s="9" t="s">
        <v>7</v>
      </c>
      <c r="D584" s="2" t="s">
        <v>370</v>
      </c>
      <c r="E584" s="9" t="s">
        <v>8</v>
      </c>
      <c r="F584" s="3">
        <f>F585</f>
        <v>0.15215801246180327</v>
      </c>
      <c r="G584" s="3">
        <f t="shared" ref="G584:K584" si="360">G585</f>
        <v>0.10846149254750301</v>
      </c>
      <c r="H584" s="3">
        <f t="shared" si="360"/>
        <v>1.8562245417351819E-4</v>
      </c>
      <c r="I584" s="3">
        <f t="shared" si="360"/>
        <v>1.2588619365394511E-4</v>
      </c>
      <c r="J584" s="3">
        <f t="shared" si="360"/>
        <v>1.4422028772786025E-4</v>
      </c>
      <c r="K584" s="3">
        <f t="shared" si="360"/>
        <v>1.834407391093887E-4</v>
      </c>
    </row>
    <row r="585" spans="2:11" x14ac:dyDescent="0.25">
      <c r="B585" s="5" t="str">
        <f t="shared" si="349"/>
        <v>SPS3</v>
      </c>
      <c r="C585" s="5" t="s">
        <v>7</v>
      </c>
      <c r="D585" t="s">
        <v>904</v>
      </c>
      <c r="E585" s="5" t="s">
        <v>8</v>
      </c>
      <c r="F585" s="1">
        <f>SUM(F586:F587)</f>
        <v>0.15215801246180327</v>
      </c>
      <c r="G585" s="1">
        <f t="shared" ref="G585:K585" si="361">SUM(G586:G587)</f>
        <v>0.10846149254750301</v>
      </c>
      <c r="H585" s="1">
        <f t="shared" si="361"/>
        <v>1.8562245417351819E-4</v>
      </c>
      <c r="I585" s="1">
        <f t="shared" si="361"/>
        <v>1.2588619365394511E-4</v>
      </c>
      <c r="J585" s="1">
        <f t="shared" si="361"/>
        <v>1.4422028772786025E-4</v>
      </c>
      <c r="K585" s="1">
        <f t="shared" si="361"/>
        <v>1.834407391093887E-4</v>
      </c>
    </row>
    <row r="586" spans="2:11" x14ac:dyDescent="0.25">
      <c r="B586" s="5" t="str">
        <f t="shared" si="349"/>
        <v>SPS3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0.15215801246180327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0.10846149254750301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1.8562245417351819E-4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1.2588619365394511E-4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9.6134618101258569E-5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2.5325366975479866E-5</v>
      </c>
    </row>
    <row r="587" spans="2:11" x14ac:dyDescent="0.25">
      <c r="B587" s="5" t="str">
        <f t="shared" si="349"/>
        <v>SPS3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4.8085669626601677E-5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1.5811537213390883E-4</v>
      </c>
    </row>
    <row r="588" spans="2:11" x14ac:dyDescent="0.25">
      <c r="B588" s="9" t="str">
        <f t="shared" si="349"/>
        <v>SPS3</v>
      </c>
      <c r="C588" s="9" t="s">
        <v>7</v>
      </c>
      <c r="D588" s="2" t="s">
        <v>373</v>
      </c>
      <c r="E588" s="9" t="s">
        <v>8</v>
      </c>
      <c r="F588" s="3">
        <f>F589+F592</f>
        <v>1.1388442009641138</v>
      </c>
      <c r="G588" s="3">
        <f t="shared" ref="G588:K588" si="362">G589+G592</f>
        <v>0.81179255575938924</v>
      </c>
      <c r="H588" s="3">
        <f t="shared" si="362"/>
        <v>1.3893126762371815E-3</v>
      </c>
      <c r="I588" s="3">
        <f t="shared" si="362"/>
        <v>9.4220974173299019E-4</v>
      </c>
      <c r="J588" s="3">
        <f t="shared" si="362"/>
        <v>1.0867783382335768E-3</v>
      </c>
      <c r="K588" s="3">
        <f t="shared" si="362"/>
        <v>1.3971350668139134E-3</v>
      </c>
    </row>
    <row r="589" spans="2:11" x14ac:dyDescent="0.25">
      <c r="B589" s="5" t="str">
        <f t="shared" si="349"/>
        <v>SPS3</v>
      </c>
      <c r="C589" s="5" t="s">
        <v>7</v>
      </c>
      <c r="D589" t="s">
        <v>905</v>
      </c>
      <c r="E589" s="5" t="s">
        <v>8</v>
      </c>
      <c r="F589" s="1">
        <f>SUM(F590:F591)</f>
        <v>1.1117288628459205</v>
      </c>
      <c r="G589" s="1">
        <f t="shared" ref="G589:K589" si="363">SUM(G590:G591)</f>
        <v>0.79246416157464195</v>
      </c>
      <c r="H589" s="1">
        <f t="shared" si="363"/>
        <v>1.356233802993439E-3</v>
      </c>
      <c r="I589" s="1">
        <f t="shared" si="363"/>
        <v>9.1977617645363325E-4</v>
      </c>
      <c r="J589" s="1">
        <f t="shared" si="363"/>
        <v>1.0537325894372776E-3</v>
      </c>
      <c r="K589" s="1">
        <f t="shared" si="363"/>
        <v>1.3402932976723171E-3</v>
      </c>
    </row>
    <row r="590" spans="2:11" x14ac:dyDescent="0.25">
      <c r="B590" s="5" t="str">
        <f t="shared" si="349"/>
        <v>SPS3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1.1117288628459205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0.79246416157464195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1.356233802993439E-3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9.1977617645363325E-4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7.0239895969111902E-4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1.8503752101699995E-4</v>
      </c>
    </row>
    <row r="591" spans="2:11" x14ac:dyDescent="0.25">
      <c r="B591" s="5" t="str">
        <f t="shared" si="349"/>
        <v>SPS3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3.5133362974615849E-4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1.1552557766553171E-3</v>
      </c>
    </row>
    <row r="592" spans="2:11" x14ac:dyDescent="0.25">
      <c r="B592" s="5" t="str">
        <f t="shared" si="349"/>
        <v>SPS3</v>
      </c>
      <c r="C592" s="5" t="s">
        <v>7</v>
      </c>
      <c r="D592" t="s">
        <v>906</v>
      </c>
      <c r="E592" s="5" t="s">
        <v>8</v>
      </c>
      <c r="F592" s="1">
        <f>SUM(F593:F594)</f>
        <v>2.7115338118193173E-2</v>
      </c>
      <c r="G592" s="1">
        <f t="shared" ref="G592:K592" si="364">SUM(G593:G594)</f>
        <v>1.9328394184747352E-2</v>
      </c>
      <c r="H592" s="1">
        <f t="shared" si="364"/>
        <v>3.3078873243742396E-5</v>
      </c>
      <c r="I592" s="1">
        <f t="shared" si="364"/>
        <v>2.2433565279356917E-5</v>
      </c>
      <c r="J592" s="1">
        <f t="shared" si="364"/>
        <v>3.3045748796299291E-5</v>
      </c>
      <c r="K592" s="1">
        <f t="shared" si="364"/>
        <v>5.6841769141596292E-5</v>
      </c>
    </row>
    <row r="593" spans="2:11" x14ac:dyDescent="0.25">
      <c r="B593" s="5" t="str">
        <f t="shared" si="349"/>
        <v>SPS3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2.7115338118193173E-2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1.9328394184747352E-2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3.3078873243742396E-5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2.2433565279356917E-5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1.7131681943685829E-5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4.5131102687073187E-6</v>
      </c>
    </row>
    <row r="594" spans="2:11" x14ac:dyDescent="0.25">
      <c r="B594" s="5" t="str">
        <f t="shared" si="349"/>
        <v>SPS3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1.5914066852613459E-5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5.2328658872888971E-5</v>
      </c>
    </row>
    <row r="595" spans="2:11" x14ac:dyDescent="0.25">
      <c r="B595" s="9" t="str">
        <f t="shared" si="349"/>
        <v>SPS3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tr">
        <f t="shared" si="349"/>
        <v>SPS3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0.47619047619047594</v>
      </c>
      <c r="G596" s="4">
        <f t="shared" ref="G596:K597" si="365">IFERROR(SUM(G582,G586)/SUM(G590,G593),"-")</f>
        <v>0.47619047619047583</v>
      </c>
      <c r="H596" s="4">
        <f t="shared" si="365"/>
        <v>0.47619047619047566</v>
      </c>
      <c r="I596" s="4">
        <f t="shared" si="365"/>
        <v>0.476190476190476</v>
      </c>
      <c r="J596" s="4">
        <f t="shared" si="365"/>
        <v>0.47619047619047644</v>
      </c>
      <c r="K596" s="4">
        <f t="shared" si="365"/>
        <v>0.47619047619047633</v>
      </c>
    </row>
    <row r="597" spans="2:11" x14ac:dyDescent="0.25">
      <c r="B597" s="5" t="str">
        <f t="shared" si="349"/>
        <v>SPS3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5"/>
        <v>-</v>
      </c>
      <c r="H597" s="4" t="str">
        <f t="shared" si="365"/>
        <v>-</v>
      </c>
      <c r="I597" s="4" t="str">
        <f t="shared" si="365"/>
        <v>-</v>
      </c>
      <c r="J597" s="4">
        <f t="shared" si="365"/>
        <v>0.46666666666666629</v>
      </c>
      <c r="K597" s="4">
        <f t="shared" si="365"/>
        <v>0.46666666666666667</v>
      </c>
    </row>
    <row r="598" spans="2:11" x14ac:dyDescent="0.25">
      <c r="B598" s="9" t="str">
        <f t="shared" si="349"/>
        <v>SPS3</v>
      </c>
      <c r="C598" s="9" t="s">
        <v>7</v>
      </c>
      <c r="D598" s="2" t="s">
        <v>376</v>
      </c>
      <c r="E598" s="9" t="s">
        <v>8</v>
      </c>
      <c r="F598" s="1">
        <f>[1]Other_transformation!B$12</f>
        <v>0.19956315994551696</v>
      </c>
      <c r="G598" s="1">
        <f>[1]Other_transformation!C$12</f>
        <v>3.0365922735182331E-4</v>
      </c>
      <c r="H598" s="1">
        <f>[1]Other_transformation!D$12</f>
        <v>1.200526326826717</v>
      </c>
      <c r="I598" s="1">
        <f>[1]Other_transformation!E$12</f>
        <v>1.6491348590723254</v>
      </c>
      <c r="J598" s="1">
        <f>[1]Other_transformation!F$12</f>
        <v>1.8203020902491908E-4</v>
      </c>
      <c r="K598" s="1">
        <f>[1]Other_transformation!G$12</f>
        <v>4.5734669419348519E-5</v>
      </c>
    </row>
    <row r="599" spans="2:11" x14ac:dyDescent="0.25">
      <c r="B599" s="5" t="str">
        <f t="shared" si="349"/>
        <v>SPS3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0.19956315994551696</v>
      </c>
      <c r="G599" s="1">
        <f t="shared" ref="G599:K599" si="366">SUM(G600:G601)</f>
        <v>3.0365922735182331E-4</v>
      </c>
      <c r="H599" s="1">
        <f t="shared" si="366"/>
        <v>1.200526326826717</v>
      </c>
      <c r="I599" s="1">
        <f t="shared" si="366"/>
        <v>1.6491348590723254</v>
      </c>
      <c r="J599" s="1">
        <f t="shared" si="366"/>
        <v>1.8203020902491908E-4</v>
      </c>
      <c r="K599" s="1">
        <f t="shared" si="366"/>
        <v>4.5734669419348519E-5</v>
      </c>
    </row>
    <row r="600" spans="2:11" x14ac:dyDescent="0.25">
      <c r="B600" s="5" t="str">
        <f t="shared" si="349"/>
        <v>SPS3</v>
      </c>
      <c r="C600" s="5" t="s">
        <v>7</v>
      </c>
      <c r="D600" t="s">
        <v>2166</v>
      </c>
      <c r="E600" t="str">
        <f t="shared" ref="E600:E601" si="367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0.19956315994551696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3.0365922735182331E-4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1.200526326826717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1.6491348590723254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1.1656758268856875E-4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2.4234128363407284E-5</v>
      </c>
    </row>
    <row r="601" spans="2:11" x14ac:dyDescent="0.25">
      <c r="B601" s="5" t="str">
        <f t="shared" si="349"/>
        <v>SPS3</v>
      </c>
      <c r="C601" s="5" t="s">
        <v>7</v>
      </c>
      <c r="D601" t="s">
        <v>2167</v>
      </c>
      <c r="E601" t="str">
        <f t="shared" si="367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6.5462626336350329E-5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2.1500541055941238E-5</v>
      </c>
    </row>
    <row r="602" spans="2:11" x14ac:dyDescent="0.25">
      <c r="B602" s="9" t="str">
        <f t="shared" si="349"/>
        <v>SPS3</v>
      </c>
      <c r="C602" s="9" t="s">
        <v>7</v>
      </c>
      <c r="D602" s="2" t="s">
        <v>378</v>
      </c>
      <c r="E602" s="9" t="s">
        <v>8</v>
      </c>
      <c r="F602" s="3">
        <f>F603+F606</f>
        <v>0.74437058659677824</v>
      </c>
      <c r="G602" s="3">
        <f t="shared" ref="G602:K602" si="368">G603+G606</f>
        <v>1.132648918022301E-3</v>
      </c>
      <c r="H602" s="3">
        <f t="shared" si="368"/>
        <v>4.4779631990636588</v>
      </c>
      <c r="I602" s="3">
        <f t="shared" si="368"/>
        <v>6.1512730243397788</v>
      </c>
      <c r="J602" s="3">
        <f t="shared" si="368"/>
        <v>7.0908548777766909E-4</v>
      </c>
      <c r="K602" s="3">
        <f t="shared" si="368"/>
        <v>1.8048056581990304E-4</v>
      </c>
    </row>
    <row r="603" spans="2:11" x14ac:dyDescent="0.25">
      <c r="B603" s="5" t="str">
        <f t="shared" si="349"/>
        <v>SPS3</v>
      </c>
      <c r="C603" s="5" t="s">
        <v>7</v>
      </c>
      <c r="D603" t="s">
        <v>907</v>
      </c>
      <c r="E603" s="5" t="s">
        <v>8</v>
      </c>
      <c r="F603" s="1">
        <f>SUM(F604:F605)</f>
        <v>0.41708700428613033</v>
      </c>
      <c r="G603" s="1">
        <f t="shared" ref="G603:K603" si="369">SUM(G604:G605)</f>
        <v>6.3464778516531093E-4</v>
      </c>
      <c r="H603" s="1">
        <f t="shared" si="369"/>
        <v>2.509100023067842</v>
      </c>
      <c r="I603" s="1">
        <f t="shared" si="369"/>
        <v>3.4466918554611601</v>
      </c>
      <c r="J603" s="1">
        <f t="shared" si="369"/>
        <v>3.8044313686208065E-4</v>
      </c>
      <c r="K603" s="1">
        <f t="shared" si="369"/>
        <v>9.5585459086438489E-5</v>
      </c>
    </row>
    <row r="604" spans="2:11" x14ac:dyDescent="0.25">
      <c r="B604" s="5" t="str">
        <f t="shared" si="349"/>
        <v>SPS3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0.41708700428613033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6.3464778516531093E-4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2.509100023067842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3.4466918554611601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2.4362624781910859E-4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5.0649328279521286E-5</v>
      </c>
    </row>
    <row r="605" spans="2:11" x14ac:dyDescent="0.25">
      <c r="B605" s="5" t="str">
        <f t="shared" si="349"/>
        <v>SPS3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1.3681688904297205E-4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4.4936130806917196E-5</v>
      </c>
    </row>
    <row r="606" spans="2:11" x14ac:dyDescent="0.25">
      <c r="B606" s="5" t="str">
        <f t="shared" si="349"/>
        <v>SPS3</v>
      </c>
      <c r="C606" s="5" t="s">
        <v>7</v>
      </c>
      <c r="D606" t="s">
        <v>908</v>
      </c>
      <c r="E606" s="5" t="s">
        <v>8</v>
      </c>
      <c r="F606" s="1">
        <f>SUM(F607:F608)</f>
        <v>0.32728358231064797</v>
      </c>
      <c r="G606" s="1">
        <f t="shared" ref="G606:K606" si="370">SUM(G607:G608)</f>
        <v>4.9800113285699014E-4</v>
      </c>
      <c r="H606" s="1">
        <f t="shared" si="370"/>
        <v>1.9688631759958171</v>
      </c>
      <c r="I606" s="1">
        <f t="shared" si="370"/>
        <v>2.7045811688786188</v>
      </c>
      <c r="J606" s="1">
        <f t="shared" si="370"/>
        <v>3.2864235091558845E-4</v>
      </c>
      <c r="K606" s="1">
        <f t="shared" si="370"/>
        <v>8.4895106733464548E-5</v>
      </c>
    </row>
    <row r="607" spans="2:11" x14ac:dyDescent="0.25">
      <c r="B607" s="5" t="str">
        <f t="shared" si="349"/>
        <v>SPS3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0.32728358231064797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4.9800113285699014E-4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1.9688631759958171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2.7045811688786188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1.9117083560925283E-4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3.9743970515987984E-5</v>
      </c>
    </row>
    <row r="608" spans="2:11" x14ac:dyDescent="0.25">
      <c r="B608" s="5" t="str">
        <f t="shared" si="349"/>
        <v>SPS3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1.3747151530633565E-4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4.5151136217476564E-5</v>
      </c>
    </row>
    <row r="609" spans="2:11" x14ac:dyDescent="0.25">
      <c r="B609" s="9" t="str">
        <f t="shared" si="349"/>
        <v>SPS3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tr">
        <f t="shared" si="349"/>
        <v>SPS3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0.26809651474530832</v>
      </c>
      <c r="G610">
        <f t="shared" ref="G610:K611" si="371">IFERROR(G600/SUM(G604,G607),"-")</f>
        <v>0.26809651474530832</v>
      </c>
      <c r="H610">
        <f t="shared" si="371"/>
        <v>0.26809651474530805</v>
      </c>
      <c r="I610">
        <f t="shared" si="371"/>
        <v>0.2680965147453081</v>
      </c>
      <c r="J610">
        <f t="shared" si="371"/>
        <v>0.26809651474530832</v>
      </c>
      <c r="K610">
        <f t="shared" si="371"/>
        <v>0.26809651474530799</v>
      </c>
    </row>
    <row r="611" spans="2:11" x14ac:dyDescent="0.25">
      <c r="B611" s="5" t="str">
        <f t="shared" si="349"/>
        <v>SPS3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1"/>
        <v>-</v>
      </c>
      <c r="H611" t="str">
        <f t="shared" si="371"/>
        <v>-</v>
      </c>
      <c r="I611" t="str">
        <f t="shared" si="371"/>
        <v>-</v>
      </c>
      <c r="J611">
        <f t="shared" si="371"/>
        <v>0.23866348448687366</v>
      </c>
      <c r="K611">
        <f t="shared" si="371"/>
        <v>0.23866348448687358</v>
      </c>
    </row>
    <row r="612" spans="2:11" x14ac:dyDescent="0.25">
      <c r="B612" s="5" t="str">
        <f t="shared" si="349"/>
        <v>SPS3</v>
      </c>
      <c r="C612" s="5" t="s">
        <v>7</v>
      </c>
      <c r="D612" s="2" t="s">
        <v>381</v>
      </c>
      <c r="E612" s="9" t="s">
        <v>8</v>
      </c>
      <c r="F612" s="3">
        <f>F613+F614+F619</f>
        <v>6.9574154795372598</v>
      </c>
      <c r="G612" s="3">
        <f t="shared" ref="G612" si="372">G613+G614+G619</f>
        <v>8.999086587188037</v>
      </c>
      <c r="H612" s="3">
        <f t="shared" ref="H612" si="373">H613+H614+H619</f>
        <v>9.0110465635308703</v>
      </c>
      <c r="I612" s="3">
        <f t="shared" ref="I612" si="374">I613+I614+I619</f>
        <v>12.902850872251625</v>
      </c>
      <c r="J612" s="3">
        <f t="shared" ref="J612" si="375">J613+J614+J619</f>
        <v>14.467038158732388</v>
      </c>
      <c r="K612" s="3">
        <f t="shared" ref="K612" si="376">K613+K614+K619</f>
        <v>19.286158116544595</v>
      </c>
    </row>
    <row r="613" spans="2:11" x14ac:dyDescent="0.25">
      <c r="B613" s="5" t="str">
        <f t="shared" si="349"/>
        <v>SPS3</v>
      </c>
      <c r="C613" s="5" t="s">
        <v>7</v>
      </c>
      <c r="D613" t="s">
        <v>314</v>
      </c>
      <c r="E613" s="5" t="s">
        <v>8</v>
      </c>
      <c r="F613" s="1">
        <f>[1]Other_transformation!B$19</f>
        <v>1.328003717919694</v>
      </c>
      <c r="G613" s="1">
        <f>[1]Other_transformation!C$19</f>
        <v>3.3955159239728125</v>
      </c>
      <c r="H613" s="1">
        <f>[1]Other_transformation!D$19</f>
        <v>3.5827785218468331</v>
      </c>
      <c r="I613" s="1">
        <f>[1]Other_transformation!E$19</f>
        <v>5.981363976250222</v>
      </c>
      <c r="J613" s="1">
        <f>[1]Other_transformation!F$19</f>
        <v>7.5460940022348773</v>
      </c>
      <c r="K613" s="1">
        <f>[1]Other_transformation!G$19</f>
        <v>9.4405585978203703</v>
      </c>
    </row>
    <row r="614" spans="2:11" x14ac:dyDescent="0.25">
      <c r="B614" s="5" t="str">
        <f t="shared" si="349"/>
        <v>SPS3</v>
      </c>
      <c r="C614" s="5" t="s">
        <v>7</v>
      </c>
      <c r="D614" t="s">
        <v>909</v>
      </c>
      <c r="E614" s="5" t="s">
        <v>8</v>
      </c>
      <c r="F614" s="1">
        <f>[1]Other_transformation!B$20</f>
        <v>5.6294117616175656</v>
      </c>
      <c r="G614" s="1">
        <f>[1]Other_transformation!C$20</f>
        <v>5.6032778032919843</v>
      </c>
      <c r="H614" s="1">
        <f>[1]Other_transformation!D$20</f>
        <v>5.427977852213643</v>
      </c>
      <c r="I614" s="1">
        <f>[1]Other_transformation!E$20</f>
        <v>6.9211483956543942</v>
      </c>
      <c r="J614" s="1">
        <f>[1]Other_transformation!F$20</f>
        <v>6.9202109243687451</v>
      </c>
      <c r="K614" s="1">
        <f>[1]Other_transformation!G$20</f>
        <v>9.844865979581181</v>
      </c>
    </row>
    <row r="615" spans="2:11" x14ac:dyDescent="0.25">
      <c r="B615" s="5" t="str">
        <f t="shared" si="349"/>
        <v>SPS3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5.6294117616175656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5.6032778032919843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5.427977852213643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6.9211483956543942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6.9194447447608782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9.8436309604242833</v>
      </c>
    </row>
    <row r="616" spans="2:11" x14ac:dyDescent="0.25">
      <c r="B616" s="5" t="str">
        <f t="shared" si="349"/>
        <v>SPS3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tr">
        <f t="shared" si="349"/>
        <v>SPS3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6.5485530476073572E-4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7.5189833563001909E-4</v>
      </c>
    </row>
    <row r="618" spans="2:11" x14ac:dyDescent="0.25">
      <c r="B618" s="5" t="str">
        <f t="shared" si="349"/>
        <v>SPS3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1.1132430310578568E-4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4.8312082126858013E-4</v>
      </c>
    </row>
    <row r="619" spans="2:11" x14ac:dyDescent="0.25">
      <c r="B619" s="5" t="str">
        <f t="shared" si="349"/>
        <v>SPS3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2.9285992324073914E-4</v>
      </c>
      <c r="H619" s="1">
        <f>[1]Other_transformation!D$21</f>
        <v>2.9018947039501341E-4</v>
      </c>
      <c r="I619" s="1">
        <f>[1]Other_transformation!E$21</f>
        <v>3.3850034700743466E-4</v>
      </c>
      <c r="J619" s="1">
        <f>[1]Other_transformation!F$21</f>
        <v>7.3323212876511825E-4</v>
      </c>
      <c r="K619" s="1">
        <f>[1]Other_transformation!G$21</f>
        <v>7.3353914304586135E-4</v>
      </c>
    </row>
    <row r="620" spans="2:11" x14ac:dyDescent="0.25">
      <c r="B620" s="5" t="str">
        <f t="shared" si="349"/>
        <v>SPS3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2.9285992324073914E-4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2.9018947039501341E-4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3.3850034700743466E-4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4.0737335630462116E-4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2.1857196893500415E-4</v>
      </c>
    </row>
    <row r="621" spans="2:11" x14ac:dyDescent="0.25">
      <c r="B621" s="5" t="str">
        <f t="shared" si="349"/>
        <v>SPS3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3.2585877246049715E-4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5.1496717411085721E-4</v>
      </c>
    </row>
    <row r="622" spans="2:11" x14ac:dyDescent="0.25">
      <c r="B622" s="5" t="str">
        <f t="shared" si="349"/>
        <v>SPS3</v>
      </c>
      <c r="C622" s="5" t="s">
        <v>7</v>
      </c>
      <c r="D622" s="2" t="s">
        <v>383</v>
      </c>
      <c r="E622" s="9" t="s">
        <v>8</v>
      </c>
      <c r="F622" s="3">
        <f>F623+F624+F629</f>
        <v>0.1125882352323514</v>
      </c>
      <c r="G622" s="3">
        <f t="shared" ref="G622" si="377">G623+G624+G629</f>
        <v>0.11207727046276932</v>
      </c>
      <c r="H622" s="3">
        <f t="shared" ref="H622" si="378">H623+H624+H629</f>
        <v>0.10857116462308863</v>
      </c>
      <c r="I622" s="3">
        <f t="shared" ref="I622" si="379">I623+I624+I629</f>
        <v>0.13843650792696824</v>
      </c>
      <c r="J622" s="3">
        <f t="shared" ref="J622" si="380">J623+J624+J629</f>
        <v>0.13841896186840538</v>
      </c>
      <c r="K622" s="3">
        <f t="shared" ref="K622" si="381">K623+K624+K629</f>
        <v>0.19690257949629328</v>
      </c>
    </row>
    <row r="623" spans="2:11" x14ac:dyDescent="0.25">
      <c r="B623" s="5" t="str">
        <f t="shared" si="349"/>
        <v>SPS3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tr">
        <f t="shared" si="349"/>
        <v>SPS3</v>
      </c>
      <c r="C624" s="5" t="s">
        <v>7</v>
      </c>
      <c r="D624" t="s">
        <v>330</v>
      </c>
      <c r="E624" s="5" t="s">
        <v>8</v>
      </c>
      <c r="F624" s="1">
        <f>SUM(F625:F628)</f>
        <v>0.1125882352323514</v>
      </c>
      <c r="G624" s="1">
        <f t="shared" ref="G624:K624" si="382">SUM(G625:G628)</f>
        <v>0.11206555606583969</v>
      </c>
      <c r="H624" s="1">
        <f t="shared" si="382"/>
        <v>0.10855955704427284</v>
      </c>
      <c r="I624" s="1">
        <f t="shared" si="382"/>
        <v>0.13842296791308795</v>
      </c>
      <c r="J624" s="1">
        <f t="shared" si="382"/>
        <v>0.13838889489521775</v>
      </c>
      <c r="K624" s="1">
        <f t="shared" si="382"/>
        <v>0.19687261920848581</v>
      </c>
    </row>
    <row r="625" spans="2:11" x14ac:dyDescent="0.25">
      <c r="B625" s="5" t="str">
        <f t="shared" si="349"/>
        <v>SPS3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0.1125882352323514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0.11206555606583969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0.10855955704427284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0.13842296791308795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0.13838889489521775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0.19687261920848581</v>
      </c>
    </row>
    <row r="626" spans="2:11" x14ac:dyDescent="0.25">
      <c r="B626" s="5" t="str">
        <f t="shared" si="349"/>
        <v>SPS3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tr">
        <f t="shared" si="349"/>
        <v>SPS3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tr">
        <f t="shared" ref="B628:B691" si="383">B627</f>
        <v>SPS3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tr">
        <f t="shared" si="383"/>
        <v>SPS3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4">SUM(G630:G631)</f>
        <v>1.1714396929629586E-5</v>
      </c>
      <c r="H629" s="1">
        <f t="shared" si="384"/>
        <v>1.1607578815800561E-5</v>
      </c>
      <c r="I629" s="1">
        <f t="shared" si="384"/>
        <v>1.3540013880297401E-5</v>
      </c>
      <c r="J629" s="1">
        <f t="shared" si="384"/>
        <v>3.0066973187643488E-5</v>
      </c>
      <c r="K629" s="1">
        <f t="shared" si="384"/>
        <v>2.996028780746263E-5</v>
      </c>
    </row>
    <row r="630" spans="2:11" x14ac:dyDescent="0.25">
      <c r="B630" s="5" t="str">
        <f t="shared" si="383"/>
        <v>SPS3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1.1714396929629586E-5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1.1607578815800561E-5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1.3540013880297401E-5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1.6294934252184855E-5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8.7428787574001787E-6</v>
      </c>
    </row>
    <row r="631" spans="2:11" x14ac:dyDescent="0.25">
      <c r="B631" s="5" t="str">
        <f t="shared" si="383"/>
        <v>SPS3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1.3772038935458632E-5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2.1217409050062452E-5</v>
      </c>
    </row>
    <row r="632" spans="2:11" x14ac:dyDescent="0.25">
      <c r="B632" s="5" t="str">
        <f t="shared" si="383"/>
        <v>SPS3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5">G633+G634+G639</f>
        <v>3.5143190788888749E-5</v>
      </c>
      <c r="H632" s="3">
        <f t="shared" ref="H632" si="386">H633+H634+H639</f>
        <v>3.4822736447401623E-5</v>
      </c>
      <c r="I632" s="3">
        <f t="shared" ref="I632" si="387">I633+I634+I639</f>
        <v>4.0620041640892205E-5</v>
      </c>
      <c r="J632" s="3">
        <f t="shared" ref="J632" si="388">J633+J634+J639</f>
        <v>8.9063307652566248E-5</v>
      </c>
      <c r="K632" s="3">
        <f t="shared" ref="K632" si="389">K633+K634+K639</f>
        <v>8.8862217463434213E-5</v>
      </c>
    </row>
    <row r="633" spans="2:11" x14ac:dyDescent="0.25">
      <c r="B633" s="5" t="str">
        <f t="shared" si="383"/>
        <v>SPS3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tr">
        <f t="shared" si="383"/>
        <v>SPS3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0">SUM(G635:G638)</f>
        <v>0</v>
      </c>
      <c r="H634" s="1">
        <f t="shared" ref="H634" si="391">SUM(H635:H638)</f>
        <v>0</v>
      </c>
      <c r="I634" s="1">
        <f t="shared" ref="I634" si="392">SUM(I635:I638)</f>
        <v>0</v>
      </c>
      <c r="J634" s="1">
        <f t="shared" ref="J634" si="393">SUM(J635:J638)</f>
        <v>0</v>
      </c>
      <c r="K634" s="1">
        <f t="shared" ref="K634" si="394">SUM(K635:K638)</f>
        <v>0</v>
      </c>
    </row>
    <row r="635" spans="2:11" x14ac:dyDescent="0.25">
      <c r="B635" s="5" t="str">
        <f t="shared" si="383"/>
        <v>SPS3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tr">
        <f t="shared" si="383"/>
        <v>SPS3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tr">
        <f t="shared" si="383"/>
        <v>SPS3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tr">
        <f t="shared" si="383"/>
        <v>SPS3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tr">
        <f t="shared" si="383"/>
        <v>SPS3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5">SUM(G640:G641)</f>
        <v>3.5143190788888749E-5</v>
      </c>
      <c r="H639" s="1">
        <f t="shared" ref="H639" si="396">SUM(H640:H641)</f>
        <v>3.4822736447401623E-5</v>
      </c>
      <c r="I639" s="1">
        <f t="shared" ref="I639" si="397">SUM(I640:I641)</f>
        <v>4.0620041640892205E-5</v>
      </c>
      <c r="J639" s="1">
        <f t="shared" ref="J639" si="398">SUM(J640:J641)</f>
        <v>8.9063307652566248E-5</v>
      </c>
      <c r="K639" s="1">
        <f t="shared" ref="K639" si="399">SUM(K640:K641)</f>
        <v>8.8862217463434213E-5</v>
      </c>
    </row>
    <row r="640" spans="2:11" x14ac:dyDescent="0.25">
      <c r="B640" s="5" t="str">
        <f t="shared" si="383"/>
        <v>SPS3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3.5143190788888749E-5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3.4822736447401623E-5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4.0620041640892205E-5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4.888480275655453E-5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2.6228636272200475E-5</v>
      </c>
    </row>
    <row r="641" spans="2:11" x14ac:dyDescent="0.25">
      <c r="B641" s="5" t="str">
        <f t="shared" si="383"/>
        <v>SPS3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4.0178504896011719E-5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6.2633581191233738E-5</v>
      </c>
    </row>
    <row r="642" spans="2:11" x14ac:dyDescent="0.25">
      <c r="B642" s="5" t="str">
        <f t="shared" si="383"/>
        <v>SPS3</v>
      </c>
      <c r="C642" s="5" t="s">
        <v>7</v>
      </c>
      <c r="D642" s="2" t="s">
        <v>387</v>
      </c>
      <c r="E642" s="9" t="s">
        <v>8</v>
      </c>
      <c r="F642" s="3">
        <f>F643+F644+F649</f>
        <v>13.477462056511621</v>
      </c>
      <c r="G642" s="3">
        <f t="shared" ref="G642" si="400">G643+G644+G649</f>
        <v>19.346006852090362</v>
      </c>
      <c r="H642" s="3">
        <f t="shared" ref="H642" si="401">H643+H644+H649</f>
        <v>19.580158532444589</v>
      </c>
      <c r="I642" s="3">
        <f t="shared" ref="I642" si="402">I643+I644+I649</f>
        <v>29.007578246129277</v>
      </c>
      <c r="J642" s="3">
        <f t="shared" ref="J642" si="403">J643+J644+J649</f>
        <v>33.481462216813803</v>
      </c>
      <c r="K642" s="3">
        <f t="shared" ref="K642" si="404">K643+K644+K649</f>
        <v>43.928324027677895</v>
      </c>
    </row>
    <row r="643" spans="2:11" x14ac:dyDescent="0.25">
      <c r="B643" s="5" t="str">
        <f t="shared" si="383"/>
        <v>SPS3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3.798090633250323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9.7111755425622288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10.246746572481925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17.106700972075618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21.581828846391719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26.999997589766206</v>
      </c>
    </row>
    <row r="644" spans="2:11" x14ac:dyDescent="0.25">
      <c r="B644" s="5" t="str">
        <f t="shared" si="383"/>
        <v>SPS3</v>
      </c>
      <c r="C644" s="5" t="s">
        <v>7</v>
      </c>
      <c r="D644" t="s">
        <v>914</v>
      </c>
      <c r="E644" s="5" t="s">
        <v>8</v>
      </c>
      <c r="F644" s="1">
        <f>SUM(F645:F648)</f>
        <v>9.6793714232612977</v>
      </c>
      <c r="G644" s="1">
        <f t="shared" ref="G644" si="405">SUM(G645:G648)</f>
        <v>9.6344359486317597</v>
      </c>
      <c r="H644" s="1">
        <f t="shared" ref="H644" si="406">SUM(H645:H648)</f>
        <v>9.3330202041776289</v>
      </c>
      <c r="I644" s="1">
        <f t="shared" ref="I644" si="407">SUM(I645:I648)</f>
        <v>11.900420298585198</v>
      </c>
      <c r="J644" s="1">
        <f t="shared" ref="J644" si="408">SUM(J645:J648)</f>
        <v>11.898603205384386</v>
      </c>
      <c r="K644" s="1">
        <f t="shared" ref="K644" si="409">SUM(K645:K648)</f>
        <v>16.927261318878315</v>
      </c>
    </row>
    <row r="645" spans="2:11" x14ac:dyDescent="0.25">
      <c r="B645" s="5" t="str">
        <f t="shared" si="383"/>
        <v>SPS3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9.6793714232612977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9.6344359486317597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9.3330202041776289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11.900420298585198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11.897490992563132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16.925420319952387</v>
      </c>
    </row>
    <row r="646" spans="2:11" x14ac:dyDescent="0.25">
      <c r="B646" s="5" t="str">
        <f t="shared" si="383"/>
        <v>SPS3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tr">
        <f t="shared" si="383"/>
        <v>SPS3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9.3550757822962252E-4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1.0741404794714566E-3</v>
      </c>
    </row>
    <row r="648" spans="2:11" x14ac:dyDescent="0.25">
      <c r="B648" s="5" t="str">
        <f t="shared" si="383"/>
        <v>SPS3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1.7670524302505669E-4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7.6685844645806294E-4</v>
      </c>
    </row>
    <row r="649" spans="2:11" x14ac:dyDescent="0.25">
      <c r="B649" s="5" t="str">
        <f t="shared" si="383"/>
        <v>SPS3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0">SUM(G650:G651)</f>
        <v>3.9536089637499819E-4</v>
      </c>
      <c r="H649" s="1">
        <f t="shared" ref="H649" si="411">SUM(H650:H651)</f>
        <v>3.9175578503326851E-4</v>
      </c>
      <c r="I649" s="1">
        <f t="shared" ref="I649" si="412">SUM(I650:I651)</f>
        <v>4.569754684600368E-4</v>
      </c>
      <c r="J649" s="1">
        <f t="shared" ref="J649" si="413">SUM(J650:J651)</f>
        <v>1.0301650376947317E-3</v>
      </c>
      <c r="K649" s="1">
        <f t="shared" ref="K649" si="414">SUM(K650:K651)</f>
        <v>1.0651190333808461E-3</v>
      </c>
    </row>
    <row r="650" spans="2:11" x14ac:dyDescent="0.25">
      <c r="B650" s="5" t="str">
        <f t="shared" si="383"/>
        <v>SPS3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3.9536089637499819E-4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3.9175578503326851E-4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4.569754684600368E-4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5.4995403101123889E-4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2.9507215806225573E-4</v>
      </c>
    </row>
    <row r="651" spans="2:11" x14ac:dyDescent="0.25">
      <c r="B651" s="5" t="str">
        <f t="shared" si="383"/>
        <v>SPS3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4.8021100668349282E-4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7.7004687531859032E-4</v>
      </c>
    </row>
    <row r="652" spans="2:11" x14ac:dyDescent="0.25">
      <c r="B652" s="5" t="str">
        <f t="shared" si="383"/>
        <v>SPS3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tr">
        <f t="shared" si="383"/>
        <v>SPS3</v>
      </c>
      <c r="C653" s="5" t="s">
        <v>7</v>
      </c>
      <c r="D653" t="s">
        <v>351</v>
      </c>
      <c r="E653" s="5" t="s">
        <v>8</v>
      </c>
      <c r="F653" s="4">
        <f t="shared" ref="F653:K653" si="415">IFERROR(SUM(F633,F623,F613)/F643,"-")</f>
        <v>0.3496503496503498</v>
      </c>
      <c r="G653" s="4">
        <f t="shared" si="415"/>
        <v>0.34965034965035019</v>
      </c>
      <c r="H653" s="4">
        <f t="shared" si="415"/>
        <v>0.34965034965035025</v>
      </c>
      <c r="I653" s="4">
        <f t="shared" si="415"/>
        <v>0.34965034965034997</v>
      </c>
      <c r="J653" s="4">
        <f t="shared" si="415"/>
        <v>0.34965034965035013</v>
      </c>
      <c r="K653" s="4">
        <f t="shared" si="415"/>
        <v>0.34965034965035036</v>
      </c>
    </row>
    <row r="654" spans="2:11" x14ac:dyDescent="0.25">
      <c r="B654" s="5" t="str">
        <f t="shared" si="383"/>
        <v>SPS3</v>
      </c>
      <c r="C654" s="5" t="s">
        <v>7</v>
      </c>
      <c r="D654" t="s">
        <v>352</v>
      </c>
      <c r="E654" s="5" t="s">
        <v>8</v>
      </c>
      <c r="F654" s="4">
        <f t="shared" ref="F654:K657" si="416">IFERROR(SUM(F635,F625,F615)/F645,"-")</f>
        <v>0.59322033898305027</v>
      </c>
      <c r="G654" s="4">
        <f t="shared" si="416"/>
        <v>0.59322033898305093</v>
      </c>
      <c r="H654" s="4">
        <f t="shared" si="416"/>
        <v>0.59322033898305082</v>
      </c>
      <c r="I654" s="4">
        <f t="shared" si="416"/>
        <v>0.59322033898305015</v>
      </c>
      <c r="J654" s="4">
        <f t="shared" si="416"/>
        <v>0.59322033898305093</v>
      </c>
      <c r="K654" s="4">
        <f t="shared" si="416"/>
        <v>0.59322033898305071</v>
      </c>
    </row>
    <row r="655" spans="2:11" x14ac:dyDescent="0.25">
      <c r="B655" s="5" t="str">
        <f t="shared" si="383"/>
        <v>SPS3</v>
      </c>
      <c r="C655" s="5" t="s">
        <v>7</v>
      </c>
      <c r="D655" t="s">
        <v>353</v>
      </c>
      <c r="E655" s="5" t="s">
        <v>8</v>
      </c>
      <c r="F655" s="4" t="str">
        <f t="shared" si="416"/>
        <v>-</v>
      </c>
      <c r="G655" s="4" t="str">
        <f t="shared" si="416"/>
        <v>-</v>
      </c>
      <c r="H655" s="4" t="str">
        <f t="shared" si="416"/>
        <v>-</v>
      </c>
      <c r="I655" s="4" t="str">
        <f t="shared" si="416"/>
        <v>-</v>
      </c>
      <c r="J655" s="4" t="str">
        <f t="shared" si="416"/>
        <v>-</v>
      </c>
      <c r="K655" s="4" t="str">
        <f t="shared" si="416"/>
        <v>-</v>
      </c>
    </row>
    <row r="656" spans="2:11" x14ac:dyDescent="0.25">
      <c r="B656" s="5" t="str">
        <f t="shared" si="383"/>
        <v>SPS3</v>
      </c>
      <c r="C656" s="5" t="s">
        <v>7</v>
      </c>
      <c r="D656" t="s">
        <v>354</v>
      </c>
      <c r="E656" s="5" t="s">
        <v>8</v>
      </c>
      <c r="F656" s="4" t="str">
        <f t="shared" si="416"/>
        <v>-</v>
      </c>
      <c r="G656" s="4" t="str">
        <f t="shared" si="416"/>
        <v>-</v>
      </c>
      <c r="H656" s="4" t="str">
        <f t="shared" si="416"/>
        <v>-</v>
      </c>
      <c r="I656" s="4" t="str">
        <f t="shared" si="416"/>
        <v>-</v>
      </c>
      <c r="J656" s="4">
        <f t="shared" si="416"/>
        <v>0.7</v>
      </c>
      <c r="K656" s="4">
        <f t="shared" si="416"/>
        <v>0.69999999999999951</v>
      </c>
    </row>
    <row r="657" spans="2:11" x14ac:dyDescent="0.25">
      <c r="B657" s="5" t="str">
        <f t="shared" si="383"/>
        <v>SPS3</v>
      </c>
      <c r="C657" s="5" t="s">
        <v>7</v>
      </c>
      <c r="D657" t="s">
        <v>355</v>
      </c>
      <c r="E657" s="5" t="s">
        <v>8</v>
      </c>
      <c r="F657" s="4" t="str">
        <f t="shared" si="416"/>
        <v>-</v>
      </c>
      <c r="G657" s="4" t="str">
        <f t="shared" si="416"/>
        <v>-</v>
      </c>
      <c r="H657" s="4" t="str">
        <f t="shared" si="416"/>
        <v>-</v>
      </c>
      <c r="I657" s="4" t="str">
        <f t="shared" si="416"/>
        <v>-</v>
      </c>
      <c r="J657" s="4">
        <f t="shared" si="416"/>
        <v>0.62999999999999978</v>
      </c>
      <c r="K657" s="4">
        <f t="shared" si="416"/>
        <v>0.63000000000000067</v>
      </c>
    </row>
    <row r="658" spans="2:11" x14ac:dyDescent="0.25">
      <c r="B658" s="5" t="str">
        <f t="shared" si="383"/>
        <v>SPS3</v>
      </c>
      <c r="C658" s="5" t="s">
        <v>7</v>
      </c>
      <c r="D658" t="s">
        <v>356</v>
      </c>
      <c r="E658" s="5" t="s">
        <v>8</v>
      </c>
      <c r="F658" s="4" t="str">
        <f t="shared" ref="F658:K659" si="417">IFERROR(SUM(F640,F630,F620)/F650,"-")</f>
        <v>-</v>
      </c>
      <c r="G658" s="4">
        <f t="shared" si="417"/>
        <v>0.85925925925925861</v>
      </c>
      <c r="H658" s="4">
        <f t="shared" si="417"/>
        <v>0.8592592592592585</v>
      </c>
      <c r="I658" s="4">
        <f t="shared" si="417"/>
        <v>0.85925925925925939</v>
      </c>
      <c r="J658" s="4">
        <f t="shared" si="417"/>
        <v>0.85925925925925872</v>
      </c>
      <c r="K658" s="4">
        <f t="shared" si="417"/>
        <v>0.85925925925925872</v>
      </c>
    </row>
    <row r="659" spans="2:11" x14ac:dyDescent="0.25">
      <c r="B659" s="5" t="str">
        <f t="shared" si="383"/>
        <v>SPS3</v>
      </c>
      <c r="C659" s="5" t="s">
        <v>7</v>
      </c>
      <c r="D659" t="s">
        <v>357</v>
      </c>
      <c r="E659" s="5" t="s">
        <v>8</v>
      </c>
      <c r="F659" s="4" t="str">
        <f t="shared" si="417"/>
        <v>-</v>
      </c>
      <c r="G659" s="4" t="str">
        <f t="shared" si="417"/>
        <v>-</v>
      </c>
      <c r="H659" s="4" t="str">
        <f t="shared" si="417"/>
        <v>-</v>
      </c>
      <c r="I659" s="4" t="str">
        <f t="shared" si="417"/>
        <v>-</v>
      </c>
      <c r="J659" s="4">
        <f t="shared" si="417"/>
        <v>0.79092172192192145</v>
      </c>
      <c r="K659" s="4">
        <f t="shared" si="417"/>
        <v>0.7776385873969105</v>
      </c>
    </row>
    <row r="660" spans="2:11" x14ac:dyDescent="0.25">
      <c r="B660" s="9" t="str">
        <f t="shared" si="383"/>
        <v>SPS3</v>
      </c>
      <c r="C660" s="9" t="s">
        <v>7</v>
      </c>
      <c r="D660" s="2" t="s">
        <v>390</v>
      </c>
      <c r="E660" s="9" t="s">
        <v>8</v>
      </c>
      <c r="F660" s="3">
        <f>SUM(F661,F665,F674)</f>
        <v>5.1153768807553788E-3</v>
      </c>
      <c r="G660" s="3">
        <f t="shared" ref="G660:K660" si="418">SUM(G661,G665,G674)</f>
        <v>1.8045039327849829E-2</v>
      </c>
      <c r="H660" s="3">
        <f t="shared" si="418"/>
        <v>8.4710423703633325E-2</v>
      </c>
      <c r="I660" s="3">
        <f t="shared" si="418"/>
        <v>17.771778636680075</v>
      </c>
      <c r="J660" s="3">
        <f t="shared" si="418"/>
        <v>17.771797622103179</v>
      </c>
      <c r="K660" s="3">
        <f t="shared" si="418"/>
        <v>23.677025242917896</v>
      </c>
    </row>
    <row r="661" spans="2:11" x14ac:dyDescent="0.25">
      <c r="B661" t="str">
        <f t="shared" si="383"/>
        <v>SPS3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5.1153768807553788E-3</v>
      </c>
      <c r="G661" s="1">
        <f>[1]Other_transformation!C$28</f>
        <v>1.8045039327849829E-2</v>
      </c>
      <c r="H661" s="1">
        <f>[1]Other_transformation!D$28</f>
        <v>8.4710423703633325E-2</v>
      </c>
      <c r="I661" s="1">
        <f>[1]Other_transformation!E$28</f>
        <v>17.771778636680075</v>
      </c>
      <c r="J661" s="1">
        <f>[1]Other_transformation!F$28</f>
        <v>17.771797622103179</v>
      </c>
      <c r="K661" s="1">
        <f>[1]Other_transformation!G$28</f>
        <v>17.771783100141743</v>
      </c>
    </row>
    <row r="662" spans="2:11" x14ac:dyDescent="0.25">
      <c r="B662" t="str">
        <f t="shared" si="383"/>
        <v>SPS3</v>
      </c>
      <c r="C662" t="str">
        <f t="shared" ref="C662:C673" si="419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5.1153768807553788E-3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1.8045039327849829E-2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8.4710423703633325E-2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14.405670338487436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14.183212051592985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13.98203653947188</v>
      </c>
    </row>
    <row r="663" spans="2:11" x14ac:dyDescent="0.25">
      <c r="B663" t="str">
        <f t="shared" si="383"/>
        <v>SPS3</v>
      </c>
      <c r="C663" t="str">
        <f t="shared" ref="C663" si="420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3.3661082981926405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3.5736094977609887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3.7811012879843662</v>
      </c>
    </row>
    <row r="664" spans="2:11" x14ac:dyDescent="0.25">
      <c r="B664" t="str">
        <f t="shared" si="383"/>
        <v>SPS3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1.497607274920415E-2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8.6452726854985978E-3</v>
      </c>
    </row>
    <row r="665" spans="2:11" x14ac:dyDescent="0.25">
      <c r="B665" t="str">
        <f t="shared" si="383"/>
        <v>SPS3</v>
      </c>
      <c r="C665" t="str">
        <f t="shared" si="419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1.003081123914971E-3</v>
      </c>
    </row>
    <row r="666" spans="2:11" x14ac:dyDescent="0.25">
      <c r="B666" t="str">
        <f t="shared" si="383"/>
        <v>SPS3</v>
      </c>
      <c r="C666" t="str">
        <f t="shared" si="419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3.6287233495825512E-4</v>
      </c>
    </row>
    <row r="667" spans="2:11" x14ac:dyDescent="0.25">
      <c r="B667" t="str">
        <f t="shared" si="383"/>
        <v>SPS3</v>
      </c>
      <c r="C667" t="str">
        <f t="shared" si="419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6.402087889567159E-4</v>
      </c>
    </row>
    <row r="668" spans="2:11" x14ac:dyDescent="0.25">
      <c r="B668" t="str">
        <f t="shared" si="383"/>
        <v>SPS3</v>
      </c>
      <c r="C668" t="str">
        <f t="shared" si="419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1">G665-G671</f>
        <v>0</v>
      </c>
      <c r="H668" s="1">
        <f t="shared" si="421"/>
        <v>0</v>
      </c>
      <c r="I668" s="1">
        <f t="shared" si="421"/>
        <v>0</v>
      </c>
      <c r="J668" s="1">
        <f t="shared" si="421"/>
        <v>0</v>
      </c>
      <c r="K668" s="1">
        <f t="shared" si="421"/>
        <v>0</v>
      </c>
    </row>
    <row r="669" spans="2:11" x14ac:dyDescent="0.25">
      <c r="B669" t="str">
        <f t="shared" si="383"/>
        <v>SPS3</v>
      </c>
      <c r="C669" t="str">
        <f t="shared" si="419"/>
        <v>CH</v>
      </c>
      <c r="D669" t="s">
        <v>607</v>
      </c>
      <c r="E669" s="5" t="s">
        <v>8</v>
      </c>
      <c r="F669" s="1">
        <f t="shared" ref="F669:K669" si="422">F666-F672</f>
        <v>0</v>
      </c>
      <c r="G669" s="1">
        <f t="shared" si="422"/>
        <v>0</v>
      </c>
      <c r="H669" s="1">
        <f t="shared" si="422"/>
        <v>0</v>
      </c>
      <c r="I669" s="1">
        <f t="shared" si="422"/>
        <v>0</v>
      </c>
      <c r="J669" s="1">
        <f t="shared" si="422"/>
        <v>0</v>
      </c>
      <c r="K669" s="1">
        <f t="shared" si="422"/>
        <v>0</v>
      </c>
    </row>
    <row r="670" spans="2:11" x14ac:dyDescent="0.25">
      <c r="B670" t="str">
        <f t="shared" si="383"/>
        <v>SPS3</v>
      </c>
      <c r="C670" t="str">
        <f t="shared" si="419"/>
        <v>CH</v>
      </c>
      <c r="D670" t="s">
        <v>608</v>
      </c>
      <c r="E670" s="5" t="s">
        <v>8</v>
      </c>
      <c r="F670" s="1">
        <f t="shared" ref="F670:K670" si="423">F667-F673</f>
        <v>0</v>
      </c>
      <c r="G670" s="1">
        <f t="shared" si="423"/>
        <v>0</v>
      </c>
      <c r="H670" s="1">
        <f t="shared" si="423"/>
        <v>0</v>
      </c>
      <c r="I670" s="1">
        <f t="shared" si="423"/>
        <v>0</v>
      </c>
      <c r="J670" s="1">
        <f t="shared" si="423"/>
        <v>0</v>
      </c>
      <c r="K670" s="1">
        <f t="shared" si="423"/>
        <v>0</v>
      </c>
    </row>
    <row r="671" spans="2:11" x14ac:dyDescent="0.25">
      <c r="B671" t="str">
        <f t="shared" si="383"/>
        <v>SPS3</v>
      </c>
      <c r="C671" t="str">
        <f t="shared" si="419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4">SUM(G672:G673)</f>
        <v>0</v>
      </c>
      <c r="H671" s="1">
        <f t="shared" si="424"/>
        <v>0</v>
      </c>
      <c r="I671" s="1">
        <f t="shared" si="424"/>
        <v>0</v>
      </c>
      <c r="J671" s="1">
        <f t="shared" si="424"/>
        <v>0</v>
      </c>
      <c r="K671" s="1">
        <f t="shared" si="424"/>
        <v>1.003081123914971E-3</v>
      </c>
    </row>
    <row r="672" spans="2:11" x14ac:dyDescent="0.25">
      <c r="B672" t="str">
        <f t="shared" si="383"/>
        <v>SPS3</v>
      </c>
      <c r="C672" t="str">
        <f t="shared" si="419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3.6287233495825512E-4</v>
      </c>
    </row>
    <row r="673" spans="2:11" x14ac:dyDescent="0.25">
      <c r="B673" t="str">
        <f t="shared" si="383"/>
        <v>SPS3</v>
      </c>
      <c r="C673" t="str">
        <f t="shared" si="419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6.402087889567159E-4</v>
      </c>
    </row>
    <row r="674" spans="2:11" x14ac:dyDescent="0.25">
      <c r="B674" t="str">
        <f t="shared" si="383"/>
        <v>SPS3</v>
      </c>
      <c r="C674" t="str">
        <f t="shared" ref="C674:C676" si="425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26">SUM(G675:G676)</f>
        <v>0</v>
      </c>
      <c r="H674" s="1">
        <f t="shared" si="426"/>
        <v>0</v>
      </c>
      <c r="I674" s="1">
        <f t="shared" si="426"/>
        <v>0</v>
      </c>
      <c r="J674" s="1">
        <f t="shared" si="426"/>
        <v>0</v>
      </c>
      <c r="K674" s="1">
        <f t="shared" si="426"/>
        <v>5.9042390616522376</v>
      </c>
    </row>
    <row r="675" spans="2:11" x14ac:dyDescent="0.25">
      <c r="B675" t="str">
        <f t="shared" si="383"/>
        <v>SPS3</v>
      </c>
      <c r="C675" t="str">
        <f t="shared" si="425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1.764762503899675E-4</v>
      </c>
    </row>
    <row r="676" spans="2:11" x14ac:dyDescent="0.25">
      <c r="B676" t="str">
        <f t="shared" si="383"/>
        <v>SPS3</v>
      </c>
      <c r="C676" t="str">
        <f t="shared" si="425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5.9040625854018476</v>
      </c>
    </row>
    <row r="677" spans="2:11" x14ac:dyDescent="0.25">
      <c r="B677" s="9" t="str">
        <f t="shared" si="383"/>
        <v>SPS3</v>
      </c>
      <c r="C677" s="9" t="s">
        <v>7</v>
      </c>
      <c r="D677" s="2" t="s">
        <v>406</v>
      </c>
      <c r="E677" s="9" t="s">
        <v>8</v>
      </c>
      <c r="F677" s="3">
        <f>SUM(F678,F682,F684,F693)</f>
        <v>7.4677034755552957E-3</v>
      </c>
      <c r="G677" s="3">
        <f t="shared" ref="G677:K677" si="427">SUM(G678,G682,G684,G693)</f>
        <v>2.6001497590561709E-2</v>
      </c>
      <c r="H677" s="3">
        <f t="shared" si="427"/>
        <v>0.11973204763764422</v>
      </c>
      <c r="I677" s="3">
        <f t="shared" si="427"/>
        <v>24.344902242027487</v>
      </c>
      <c r="J677" s="3">
        <f t="shared" si="427"/>
        <v>22.929241682341246</v>
      </c>
      <c r="K677" s="3">
        <f t="shared" si="427"/>
        <v>31.853086742954417</v>
      </c>
    </row>
    <row r="678" spans="2:11" x14ac:dyDescent="0.25">
      <c r="B678" t="str">
        <f t="shared" si="383"/>
        <v>SPS3</v>
      </c>
      <c r="C678" t="str">
        <f>C677</f>
        <v>CH</v>
      </c>
      <c r="D678" t="s">
        <v>921</v>
      </c>
      <c r="E678" s="5" t="s">
        <v>8</v>
      </c>
      <c r="F678" s="1">
        <f>SUM(F679:F681)</f>
        <v>7.4677034755552957E-3</v>
      </c>
      <c r="G678" s="1">
        <f t="shared" ref="G678:K678" si="428">SUM(G679:G681)</f>
        <v>2.6001497590561709E-2</v>
      </c>
      <c r="H678" s="1">
        <f t="shared" si="428"/>
        <v>0.11973204763764422</v>
      </c>
      <c r="I678" s="1">
        <f t="shared" si="428"/>
        <v>24.344902242027487</v>
      </c>
      <c r="J678" s="1">
        <f t="shared" si="428"/>
        <v>22.927003878367227</v>
      </c>
      <c r="K678" s="1">
        <f t="shared" si="428"/>
        <v>21.671008476900443</v>
      </c>
    </row>
    <row r="679" spans="2:11" x14ac:dyDescent="0.25">
      <c r="B679" t="str">
        <f t="shared" si="383"/>
        <v>SPS3</v>
      </c>
      <c r="C679" t="str">
        <f t="shared" ref="C679:C695" si="429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7.4677034755552957E-3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2.6001497590561709E-2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0.11973204763764422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19.733794984229352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18.300918776249009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17.051264072526692</v>
      </c>
    </row>
    <row r="680" spans="2:11" x14ac:dyDescent="0.25">
      <c r="B680" t="str">
        <f t="shared" si="383"/>
        <v>SPS3</v>
      </c>
      <c r="C680" t="str">
        <f t="shared" ref="C680" si="430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4.6111072577981345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4.6111090293690165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4.6110991316882526</v>
      </c>
    </row>
    <row r="681" spans="2:11" x14ac:dyDescent="0.25">
      <c r="B681" t="str">
        <f t="shared" si="383"/>
        <v>SPS3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1.497607274920415E-2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8.6452726854985978E-3</v>
      </c>
    </row>
    <row r="682" spans="2:11" x14ac:dyDescent="0.25">
      <c r="B682" t="str">
        <f t="shared" si="383"/>
        <v>SPS3</v>
      </c>
      <c r="C682" t="str">
        <f t="shared" ref="C682:C683" si="431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32">G683</f>
        <v>0</v>
      </c>
      <c r="H682" s="1">
        <f t="shared" si="432"/>
        <v>0</v>
      </c>
      <c r="I682" s="1">
        <f t="shared" si="432"/>
        <v>0</v>
      </c>
      <c r="J682" s="1">
        <f t="shared" si="432"/>
        <v>2.2378039740190156E-3</v>
      </c>
      <c r="K682" s="1">
        <f t="shared" si="432"/>
        <v>9.6058585394428705E-4</v>
      </c>
    </row>
    <row r="683" spans="2:11" x14ac:dyDescent="0.25">
      <c r="B683" t="str">
        <f t="shared" si="383"/>
        <v>SPS3</v>
      </c>
      <c r="C683" t="str">
        <f t="shared" si="431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2.2378039740190156E-3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9.6058585394428705E-4</v>
      </c>
    </row>
    <row r="684" spans="2:11" x14ac:dyDescent="0.25">
      <c r="B684" t="str">
        <f t="shared" si="383"/>
        <v>SPS3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33">SUM(G685:G686)</f>
        <v>0</v>
      </c>
      <c r="H684" s="1">
        <f t="shared" si="433"/>
        <v>0</v>
      </c>
      <c r="I684" s="1">
        <f t="shared" si="433"/>
        <v>0</v>
      </c>
      <c r="J684" s="1">
        <f t="shared" si="433"/>
        <v>0</v>
      </c>
      <c r="K684" s="1">
        <f t="shared" si="433"/>
        <v>1.4053024232042344E-3</v>
      </c>
    </row>
    <row r="685" spans="2:11" x14ac:dyDescent="0.25">
      <c r="B685" t="str">
        <f t="shared" si="383"/>
        <v>SPS3</v>
      </c>
      <c r="C685" t="str">
        <f t="shared" si="429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4.7746359862928326E-4</v>
      </c>
    </row>
    <row r="686" spans="2:11" x14ac:dyDescent="0.25">
      <c r="B686" t="str">
        <f t="shared" si="383"/>
        <v>SPS3</v>
      </c>
      <c r="C686" t="str">
        <f t="shared" si="429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9.2783882457495113E-4</v>
      </c>
    </row>
    <row r="687" spans="2:11" x14ac:dyDescent="0.25">
      <c r="B687" t="str">
        <f t="shared" si="383"/>
        <v>SPS3</v>
      </c>
      <c r="C687" t="str">
        <f t="shared" si="429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34">G684-G690</f>
        <v>0</v>
      </c>
      <c r="H687" s="1">
        <f t="shared" si="434"/>
        <v>0</v>
      </c>
      <c r="I687" s="1">
        <f t="shared" si="434"/>
        <v>0</v>
      </c>
      <c r="J687" s="1">
        <f t="shared" si="434"/>
        <v>0</v>
      </c>
      <c r="K687" s="1">
        <f t="shared" si="434"/>
        <v>0</v>
      </c>
    </row>
    <row r="688" spans="2:11" x14ac:dyDescent="0.25">
      <c r="B688" t="str">
        <f t="shared" si="383"/>
        <v>SPS3</v>
      </c>
      <c r="C688" t="str">
        <f t="shared" si="429"/>
        <v>CH</v>
      </c>
      <c r="D688" t="s">
        <v>609</v>
      </c>
      <c r="E688" s="5" t="s">
        <v>8</v>
      </c>
      <c r="F688" s="1">
        <f t="shared" ref="F688:K688" si="435">F685-F691</f>
        <v>0</v>
      </c>
      <c r="G688" s="1">
        <f t="shared" si="435"/>
        <v>0</v>
      </c>
      <c r="H688" s="1">
        <f t="shared" si="435"/>
        <v>0</v>
      </c>
      <c r="I688" s="1">
        <f t="shared" si="435"/>
        <v>0</v>
      </c>
      <c r="J688" s="1">
        <f t="shared" si="435"/>
        <v>0</v>
      </c>
      <c r="K688" s="1">
        <f t="shared" si="435"/>
        <v>0</v>
      </c>
    </row>
    <row r="689" spans="2:11" x14ac:dyDescent="0.25">
      <c r="B689" t="str">
        <f t="shared" si="383"/>
        <v>SPS3</v>
      </c>
      <c r="C689" t="str">
        <f t="shared" si="429"/>
        <v>CH</v>
      </c>
      <c r="D689" t="s">
        <v>610</v>
      </c>
      <c r="E689" s="5" t="s">
        <v>8</v>
      </c>
      <c r="F689" s="1">
        <f t="shared" ref="F689:K689" si="436">F686-F692</f>
        <v>0</v>
      </c>
      <c r="G689" s="1">
        <f t="shared" si="436"/>
        <v>0</v>
      </c>
      <c r="H689" s="1">
        <f t="shared" si="436"/>
        <v>0</v>
      </c>
      <c r="I689" s="1">
        <f t="shared" si="436"/>
        <v>0</v>
      </c>
      <c r="J689" s="1">
        <f t="shared" si="436"/>
        <v>0</v>
      </c>
      <c r="K689" s="1">
        <f t="shared" si="436"/>
        <v>0</v>
      </c>
    </row>
    <row r="690" spans="2:11" x14ac:dyDescent="0.25">
      <c r="B690" t="str">
        <f t="shared" si="383"/>
        <v>SPS3</v>
      </c>
      <c r="C690" t="str">
        <f t="shared" si="429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37">SUM(G691:G692)</f>
        <v>0</v>
      </c>
      <c r="H690" s="1">
        <f t="shared" si="437"/>
        <v>0</v>
      </c>
      <c r="I690" s="1">
        <f t="shared" si="437"/>
        <v>0</v>
      </c>
      <c r="J690" s="1">
        <f t="shared" si="437"/>
        <v>0</v>
      </c>
      <c r="K690" s="1">
        <f t="shared" si="437"/>
        <v>1.4053024232042344E-3</v>
      </c>
    </row>
    <row r="691" spans="2:11" x14ac:dyDescent="0.25">
      <c r="B691" t="str">
        <f t="shared" si="383"/>
        <v>SPS3</v>
      </c>
      <c r="C691" t="str">
        <f t="shared" si="429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38">IFERROR(G672/G666,0)*G685</f>
        <v>0</v>
      </c>
      <c r="H691" s="1">
        <f t="shared" si="438"/>
        <v>0</v>
      </c>
      <c r="I691" s="1">
        <f t="shared" si="438"/>
        <v>0</v>
      </c>
      <c r="J691" s="1">
        <f t="shared" si="438"/>
        <v>0</v>
      </c>
      <c r="K691" s="1">
        <f t="shared" si="438"/>
        <v>4.7746359862928326E-4</v>
      </c>
    </row>
    <row r="692" spans="2:11" x14ac:dyDescent="0.25">
      <c r="B692" t="str">
        <f t="shared" ref="B692:B755" si="439">B691</f>
        <v>SPS3</v>
      </c>
      <c r="C692" t="str">
        <f t="shared" si="429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38"/>
        <v>0</v>
      </c>
      <c r="H692" s="1">
        <f t="shared" si="438"/>
        <v>0</v>
      </c>
      <c r="I692" s="1">
        <f t="shared" si="438"/>
        <v>0</v>
      </c>
      <c r="J692" s="1">
        <f t="shared" si="438"/>
        <v>0</v>
      </c>
      <c r="K692" s="1">
        <f t="shared" si="438"/>
        <v>9.2783882457495113E-4</v>
      </c>
    </row>
    <row r="693" spans="2:11" x14ac:dyDescent="0.25">
      <c r="B693" t="str">
        <f t="shared" si="439"/>
        <v>SPS3</v>
      </c>
      <c r="C693" t="str">
        <f t="shared" si="429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0">SUM(G694:G695)</f>
        <v>0</v>
      </c>
      <c r="H693" s="1">
        <f t="shared" si="440"/>
        <v>0</v>
      </c>
      <c r="I693" s="1">
        <f t="shared" si="440"/>
        <v>0</v>
      </c>
      <c r="J693" s="1">
        <f t="shared" si="440"/>
        <v>0</v>
      </c>
      <c r="K693" s="1">
        <f t="shared" si="440"/>
        <v>10.179712377776822</v>
      </c>
    </row>
    <row r="694" spans="2:11" x14ac:dyDescent="0.25">
      <c r="B694" t="str">
        <f t="shared" si="439"/>
        <v>SPS3</v>
      </c>
      <c r="C694" t="str">
        <f t="shared" si="429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2.9412708398312214E-4</v>
      </c>
    </row>
    <row r="695" spans="2:11" x14ac:dyDescent="0.25">
      <c r="B695" t="str">
        <f t="shared" si="439"/>
        <v>SPS3</v>
      </c>
      <c r="C695" t="str">
        <f t="shared" si="429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10.179418250692839</v>
      </c>
    </row>
    <row r="696" spans="2:11" x14ac:dyDescent="0.25">
      <c r="B696" s="9" t="str">
        <f t="shared" si="439"/>
        <v>SPS3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 t="shared" si="439"/>
        <v>SPS3</v>
      </c>
      <c r="C697" t="str">
        <f t="shared" ref="C697:C703" si="441">C696</f>
        <v>CH</v>
      </c>
      <c r="D697" t="s">
        <v>409</v>
      </c>
      <c r="E697" s="5" t="s">
        <v>240</v>
      </c>
      <c r="F697" s="4">
        <f>IFERROR(F662/F679,"-")</f>
        <v>0.68500000000000016</v>
      </c>
      <c r="G697" s="4">
        <f t="shared" ref="G697:K697" si="442">IFERROR(G662/G679,"-")</f>
        <v>0.69400000000000017</v>
      </c>
      <c r="H697" s="4">
        <f t="shared" si="442"/>
        <v>0.70750000000000035</v>
      </c>
      <c r="I697" s="4">
        <f t="shared" si="442"/>
        <v>0.73000000000000043</v>
      </c>
      <c r="J697" s="4">
        <f t="shared" si="442"/>
        <v>0.77500000000000013</v>
      </c>
      <c r="K697" s="4">
        <f t="shared" si="442"/>
        <v>0.81999999999999951</v>
      </c>
    </row>
    <row r="698" spans="2:11" x14ac:dyDescent="0.25">
      <c r="B698" t="str">
        <f t="shared" si="439"/>
        <v>SPS3</v>
      </c>
      <c r="C698" t="str">
        <f t="shared" si="441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43">IFERROR(G663/G680,"-")</f>
        <v>-</v>
      </c>
      <c r="H698" s="4" t="str">
        <f t="shared" si="443"/>
        <v>-</v>
      </c>
      <c r="I698" s="4">
        <f t="shared" si="443"/>
        <v>0.73000000000000054</v>
      </c>
      <c r="J698" s="4">
        <f t="shared" si="443"/>
        <v>0.77500000000000024</v>
      </c>
      <c r="K698" s="4">
        <f t="shared" si="443"/>
        <v>0.81999999999999984</v>
      </c>
    </row>
    <row r="699" spans="2:11" x14ac:dyDescent="0.25">
      <c r="B699" t="str">
        <f t="shared" si="439"/>
        <v>SPS3</v>
      </c>
      <c r="C699" t="str">
        <f t="shared" si="441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44">IFERROR(G664/SUM(G681,G683),"-")</f>
        <v>-</v>
      </c>
      <c r="H699" s="4" t="str">
        <f t="shared" si="444"/>
        <v>-</v>
      </c>
      <c r="I699" s="4" t="str">
        <f t="shared" si="444"/>
        <v>-</v>
      </c>
      <c r="J699" s="4">
        <f t="shared" si="444"/>
        <v>0.86999999999999977</v>
      </c>
      <c r="K699" s="4">
        <f t="shared" si="444"/>
        <v>0.90000000000000013</v>
      </c>
    </row>
    <row r="700" spans="2:11" x14ac:dyDescent="0.25">
      <c r="B700" t="str">
        <f t="shared" si="439"/>
        <v>SPS3</v>
      </c>
      <c r="C700" t="str">
        <f t="shared" si="441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45">IFERROR(G666/G685,"-")</f>
        <v>-</v>
      </c>
      <c r="H700" s="4" t="str">
        <f t="shared" si="445"/>
        <v>-</v>
      </c>
      <c r="I700" s="4" t="str">
        <f t="shared" si="445"/>
        <v>-</v>
      </c>
      <c r="J700" s="4" t="str">
        <f t="shared" si="445"/>
        <v>-</v>
      </c>
      <c r="K700" s="4">
        <f t="shared" si="445"/>
        <v>0.75999999999999968</v>
      </c>
    </row>
    <row r="701" spans="2:11" x14ac:dyDescent="0.25">
      <c r="B701" t="str">
        <f t="shared" si="439"/>
        <v>SPS3</v>
      </c>
      <c r="C701" t="str">
        <f t="shared" si="441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45"/>
        <v>-</v>
      </c>
      <c r="H701" s="4" t="str">
        <f t="shared" si="445"/>
        <v>-</v>
      </c>
      <c r="I701" s="4" t="str">
        <f t="shared" si="445"/>
        <v>-</v>
      </c>
      <c r="J701" s="4" t="str">
        <f t="shared" si="445"/>
        <v>-</v>
      </c>
      <c r="K701" s="4">
        <f t="shared" si="445"/>
        <v>0.68999999999999961</v>
      </c>
    </row>
    <row r="702" spans="2:11" x14ac:dyDescent="0.25">
      <c r="B702" t="str">
        <f t="shared" si="439"/>
        <v>SPS3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46">IFERROR(G675/G694,"-")</f>
        <v>-</v>
      </c>
      <c r="H702" s="4" t="str">
        <f t="shared" si="446"/>
        <v>-</v>
      </c>
      <c r="I702" s="4" t="str">
        <f t="shared" si="446"/>
        <v>-</v>
      </c>
      <c r="J702" s="4" t="str">
        <f t="shared" si="446"/>
        <v>-</v>
      </c>
      <c r="K702" s="4">
        <f t="shared" si="446"/>
        <v>0.60000000000032028</v>
      </c>
    </row>
    <row r="703" spans="2:11" x14ac:dyDescent="0.25">
      <c r="B703" t="str">
        <f t="shared" si="439"/>
        <v>SPS3</v>
      </c>
      <c r="C703" t="str">
        <f t="shared" si="441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46"/>
        <v>-</v>
      </c>
      <c r="H703" s="4" t="str">
        <f t="shared" si="446"/>
        <v>-</v>
      </c>
      <c r="I703" s="4" t="str">
        <f t="shared" si="446"/>
        <v>-</v>
      </c>
      <c r="J703" s="4" t="str">
        <f t="shared" si="446"/>
        <v>-</v>
      </c>
      <c r="K703" s="4">
        <f t="shared" si="446"/>
        <v>0.58000000000000007</v>
      </c>
    </row>
    <row r="704" spans="2:11" x14ac:dyDescent="0.25">
      <c r="B704" s="9" t="str">
        <f t="shared" si="439"/>
        <v>SPS3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1.1764718808981853</v>
      </c>
      <c r="G704" s="1">
        <f>[1]Other_transformation!C$39</f>
        <v>3.399742965128751</v>
      </c>
      <c r="H704" s="1">
        <f>[1]Other_transformation!D$39</f>
        <v>3.2124854963107503</v>
      </c>
      <c r="I704" s="1">
        <f>[1]Other_transformation!E$39</f>
        <v>3.2514638735285852</v>
      </c>
      <c r="J704" s="1">
        <f>[1]Other_transformation!F$39</f>
        <v>2.8187673305783587</v>
      </c>
      <c r="K704" s="1">
        <f>[1]Other_transformation!G$39</f>
        <v>9.8675116844044428</v>
      </c>
    </row>
    <row r="705" spans="2:11" x14ac:dyDescent="0.25">
      <c r="B705" s="9" t="str">
        <f t="shared" si="439"/>
        <v>SPS3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1.2890715756969104</v>
      </c>
      <c r="G705" s="1">
        <f>[1]Other_transformation!C$38</f>
        <v>3.7251311248316039</v>
      </c>
      <c r="H705" s="1">
        <f>[1]Other_transformation!D$38</f>
        <v>3.5199513119439874</v>
      </c>
      <c r="I705" s="1">
        <f>[1]Other_transformation!E$38</f>
        <v>3.5626602954344686</v>
      </c>
      <c r="J705" s="1">
        <f>[1]Other_transformation!F$38</f>
        <v>3.0885505241124251</v>
      </c>
      <c r="K705" s="1">
        <f>[1]Other_transformation!G$38</f>
        <v>10.811927630188482</v>
      </c>
    </row>
    <row r="706" spans="2:11" x14ac:dyDescent="0.25">
      <c r="B706" s="9" t="str">
        <f t="shared" si="439"/>
        <v>SPS3</v>
      </c>
      <c r="C706" s="9" t="s">
        <v>7</v>
      </c>
      <c r="D706" s="2" t="s">
        <v>426</v>
      </c>
      <c r="E706" s="9" t="s">
        <v>8</v>
      </c>
      <c r="F706" s="14">
        <f t="shared" ref="F706:K706" si="447">F704/F705</f>
        <v>0.9126505487192591</v>
      </c>
      <c r="G706" s="14">
        <f t="shared" si="447"/>
        <v>0.91265054871925821</v>
      </c>
      <c r="H706" s="14">
        <f t="shared" si="447"/>
        <v>0.91265054871925744</v>
      </c>
      <c r="I706" s="14">
        <f t="shared" si="447"/>
        <v>0.91265054871925899</v>
      </c>
      <c r="J706" s="14">
        <f t="shared" si="447"/>
        <v>0.91265054871925866</v>
      </c>
      <c r="K706" s="14">
        <f t="shared" si="447"/>
        <v>0.91265054871925966</v>
      </c>
    </row>
    <row r="707" spans="2:11" x14ac:dyDescent="0.25">
      <c r="B707" s="9" t="str">
        <f t="shared" si="439"/>
        <v>SPS3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5.9796376820373327</v>
      </c>
      <c r="G707" s="17" cm="1">
        <f t="array" ref="G707">SUMPRODUCT(("CT_CWODPLT"=[1]OUT_SyntheticFuels!$C$4:$C$1000)*1,("Var_Fout"=[1]OUT_SyntheticFuels!$B$4:$B$1000)*1,[1]OUT_SyntheticFuels!F$4:F$1000)</f>
        <v>6.9696520310341237</v>
      </c>
      <c r="H707" s="17" cm="1">
        <f t="array" ref="H707">SUMPRODUCT(("CT_CWODPLT"=[1]OUT_SyntheticFuels!$C$4:$C$1000)*1,("Var_Fout"=[1]OUT_SyntheticFuels!$B$4:$B$1000)*1,[1]OUT_SyntheticFuels!G$4:G$1000)</f>
        <v>1.3648526384445938</v>
      </c>
      <c r="I707" s="17" cm="1">
        <f t="array" ref="I707">SUMPRODUCT(("CT_CWODPLT"=[1]OUT_SyntheticFuels!$C$4:$C$1000)*1,("Var_Fout"=[1]OUT_SyntheticFuels!$B$4:$B$1000)*1,[1]OUT_SyntheticFuels!H$4:H$1000)</f>
        <v>1.2882042110506591</v>
      </c>
      <c r="J707" s="17" cm="1">
        <f t="array" ref="J707">SUMPRODUCT(("CT_CWODPLT"=[1]OUT_SyntheticFuels!$C$4:$C$1000)*1,("Var_Fout"=[1]OUT_SyntheticFuels!$B$4:$B$1000)*1,[1]OUT_SyntheticFuels!I$4:I$1000)</f>
        <v>1.0977745632632274</v>
      </c>
      <c r="K707" s="17" cm="1">
        <f t="array" ref="K707">SUMPRODUCT(("CT_CWODPLT"=[1]OUT_SyntheticFuels!$C$4:$C$1000)*1,("Var_Fout"=[1]OUT_SyntheticFuels!$B$4:$B$1000)*1,[1]OUT_SyntheticFuels!J$4:J$1000)</f>
        <v>0.89115039008995733</v>
      </c>
    </row>
    <row r="708" spans="2:11" x14ac:dyDescent="0.25">
      <c r="B708" s="5" t="str">
        <f t="shared" si="439"/>
        <v>SPS3</v>
      </c>
      <c r="C708" s="5" t="str">
        <f>C707</f>
        <v>SPS1</v>
      </c>
      <c r="D708" t="s">
        <v>491</v>
      </c>
      <c r="E708" s="5" t="s">
        <v>8</v>
      </c>
      <c r="F708" s="18">
        <f>F707</f>
        <v>5.9796376820373327</v>
      </c>
      <c r="G708" s="18">
        <f t="shared" ref="G708:K708" si="448">G707</f>
        <v>6.9696520310341237</v>
      </c>
      <c r="H708" s="18">
        <f t="shared" si="448"/>
        <v>1.3648526384445938</v>
      </c>
      <c r="I708" s="18">
        <f t="shared" si="448"/>
        <v>1.2882042110506591</v>
      </c>
      <c r="J708" s="18">
        <f t="shared" si="448"/>
        <v>1.0977745632632274</v>
      </c>
      <c r="K708" s="18">
        <f t="shared" si="448"/>
        <v>0.89115039008995733</v>
      </c>
    </row>
    <row r="709" spans="2:11" x14ac:dyDescent="0.25">
      <c r="B709" s="9" t="str">
        <f t="shared" si="439"/>
        <v>SPS3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7.1186162881396822</v>
      </c>
      <c r="G709" s="17" cm="1">
        <f t="array" ref="G709">SUMPRODUCT(("CT_CWODPLT"=[1]OUT_SyntheticFuels!$C$4:$C$1000)*1,("Var_Fin"=[1]OUT_SyntheticFuels!$B$4:$B$1000)*1,[1]OUT_SyntheticFuels!F$4:F$1000)</f>
        <v>8.2972047988501529</v>
      </c>
      <c r="H709" s="17" cm="1">
        <f t="array" ref="H709">SUMPRODUCT(("CT_CWODPLT"=[1]OUT_SyntheticFuels!$C$4:$C$1000)*1,("Var_Fin"=[1]OUT_SyntheticFuels!$B$4:$B$1000)*1,[1]OUT_SyntheticFuels!G$4:G$1000)</f>
        <v>1.6248245695768961</v>
      </c>
      <c r="I709" s="17" cm="1">
        <f t="array" ref="I709">SUMPRODUCT(("CT_CWODPLT"=[1]OUT_SyntheticFuels!$C$4:$C$1000)*1,("Var_Fin"=[1]OUT_SyntheticFuels!$B$4:$B$1000)*1,[1]OUT_SyntheticFuels!H$4:H$1000)</f>
        <v>1.5335764417269742</v>
      </c>
      <c r="J709" s="17" cm="1">
        <f t="array" ref="J709">SUMPRODUCT(("CT_CWODPLT"=[1]OUT_SyntheticFuels!$C$4:$C$1000)*1,("Var_Fin"=[1]OUT_SyntheticFuels!$B$4:$B$1000)*1,[1]OUT_SyntheticFuels!I$4:I$1000)</f>
        <v>1.3068744800752699</v>
      </c>
      <c r="K709" s="17" cm="1">
        <f t="array" ref="K709">SUMPRODUCT(("CT_CWODPLT"=[1]OUT_SyntheticFuels!$C$4:$C$1000)*1,("Var_Fin"=[1]OUT_SyntheticFuels!$B$4:$B$1000)*1,[1]OUT_SyntheticFuels!J$4:J$1000)</f>
        <v>1.0608933215356637</v>
      </c>
    </row>
    <row r="710" spans="2:11" x14ac:dyDescent="0.25">
      <c r="B710" s="5" t="str">
        <f t="shared" si="439"/>
        <v>SPS3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49">F709</f>
        <v>7.1186162881396822</v>
      </c>
      <c r="G710" s="18">
        <f t="shared" si="449"/>
        <v>8.2972047988501529</v>
      </c>
      <c r="H710" s="18">
        <f t="shared" si="449"/>
        <v>1.6248245695768961</v>
      </c>
      <c r="I710" s="18">
        <f t="shared" si="449"/>
        <v>1.5335764417269742</v>
      </c>
      <c r="J710" s="18">
        <f t="shared" si="449"/>
        <v>1.3068744800752699</v>
      </c>
      <c r="K710" s="18">
        <f t="shared" si="449"/>
        <v>1.0608933215356637</v>
      </c>
    </row>
    <row r="711" spans="2:11" x14ac:dyDescent="0.25">
      <c r="B711" s="9" t="str">
        <f t="shared" si="439"/>
        <v>SPS3</v>
      </c>
      <c r="C711" s="9" t="s">
        <v>6</v>
      </c>
      <c r="D711" s="2" t="s">
        <v>476</v>
      </c>
      <c r="E711" s="9" t="s">
        <v>240</v>
      </c>
      <c r="F711" s="14">
        <f t="shared" ref="F711:K711" si="450">IFERROR(F707/F709,"-")</f>
        <v>0.84</v>
      </c>
      <c r="G711" s="14">
        <f t="shared" si="450"/>
        <v>0.83999999999999941</v>
      </c>
      <c r="H711" s="14">
        <f t="shared" si="450"/>
        <v>0.84000000000000064</v>
      </c>
      <c r="I711" s="14">
        <f t="shared" si="450"/>
        <v>0.84000000000000052</v>
      </c>
      <c r="J711" s="14">
        <f t="shared" si="450"/>
        <v>0.84000000000000052</v>
      </c>
      <c r="K711" s="14">
        <f t="shared" si="450"/>
        <v>0.83999999999999986</v>
      </c>
    </row>
    <row r="712" spans="2:11" x14ac:dyDescent="0.25">
      <c r="B712" s="9" t="str">
        <f t="shared" si="439"/>
        <v>SPS3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51">G713+G715</f>
        <v>0</v>
      </c>
      <c r="H712" s="17">
        <f t="shared" si="451"/>
        <v>0</v>
      </c>
      <c r="I712" s="17">
        <f t="shared" si="451"/>
        <v>0</v>
      </c>
      <c r="J712" s="17">
        <f t="shared" si="451"/>
        <v>3.6042685678934614</v>
      </c>
      <c r="K712" s="17">
        <f t="shared" si="451"/>
        <v>1.6978704561543354</v>
      </c>
    </row>
    <row r="713" spans="2:11" x14ac:dyDescent="0.25">
      <c r="B713" s="5" t="str">
        <f t="shared" si="439"/>
        <v>SPS3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52">G714</f>
        <v>0</v>
      </c>
      <c r="H713" s="18">
        <f t="shared" si="452"/>
        <v>0</v>
      </c>
      <c r="I713" s="18">
        <f t="shared" si="452"/>
        <v>0</v>
      </c>
      <c r="J713" s="18">
        <f t="shared" si="452"/>
        <v>7.1603737001417771E-4</v>
      </c>
      <c r="K713" s="18">
        <f t="shared" si="452"/>
        <v>1.1662008159659209E-4</v>
      </c>
    </row>
    <row r="714" spans="2:11" x14ac:dyDescent="0.25">
      <c r="B714" s="5" t="str">
        <f t="shared" si="439"/>
        <v>SPS3</v>
      </c>
      <c r="C714" s="5" t="str">
        <f t="shared" ref="B714:C716" si="453">C712</f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7.1603737001417771E-4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1.1662008159659209E-4</v>
      </c>
    </row>
    <row r="715" spans="2:11" x14ac:dyDescent="0.25">
      <c r="B715" s="5" t="str">
        <f t="shared" si="439"/>
        <v>SPS3</v>
      </c>
      <c r="C715" s="5" t="str">
        <f t="shared" si="453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54">SUM(G716:G718)</f>
        <v>0</v>
      </c>
      <c r="H715" s="18">
        <f t="shared" si="454"/>
        <v>0</v>
      </c>
      <c r="I715" s="18">
        <f t="shared" si="454"/>
        <v>0</v>
      </c>
      <c r="J715" s="18">
        <f t="shared" si="454"/>
        <v>3.603552530523447</v>
      </c>
      <c r="K715" s="18">
        <f t="shared" si="454"/>
        <v>1.6977538360727389</v>
      </c>
    </row>
    <row r="716" spans="2:11" x14ac:dyDescent="0.25">
      <c r="B716" s="5" t="str">
        <f t="shared" si="439"/>
        <v>SPS3</v>
      </c>
      <c r="C716" s="5" t="str">
        <f t="shared" si="453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1.0037890565696921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0.12276211853525526</v>
      </c>
    </row>
    <row r="717" spans="2:11" x14ac:dyDescent="0.25">
      <c r="B717" s="5" t="str">
        <f t="shared" si="439"/>
        <v>SPS3</v>
      </c>
      <c r="C717" s="5" t="str">
        <f t="shared" ref="B717:C719" si="455">C716</f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2.2049608635757916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1.5749917175374837</v>
      </c>
    </row>
    <row r="718" spans="2:11" x14ac:dyDescent="0.25">
      <c r="B718" s="5" t="str">
        <f t="shared" si="439"/>
        <v>SPS3</v>
      </c>
      <c r="C718" s="5" t="str">
        <f t="shared" si="455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0.39480261037796344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39"/>
        <v>SPS3</v>
      </c>
      <c r="C719" s="9" t="str">
        <f t="shared" si="455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56">G720</f>
        <v>0</v>
      </c>
      <c r="H719" s="17">
        <f t="shared" si="456"/>
        <v>0</v>
      </c>
      <c r="I719" s="17">
        <f t="shared" si="456"/>
        <v>0</v>
      </c>
      <c r="J719" s="17">
        <f t="shared" si="456"/>
        <v>5.5622389524981193</v>
      </c>
      <c r="K719" s="17">
        <f t="shared" si="456"/>
        <v>2.4617987985319916</v>
      </c>
    </row>
    <row r="720" spans="2:11" x14ac:dyDescent="0.25">
      <c r="B720" s="5" t="str">
        <f t="shared" si="439"/>
        <v>SPS3</v>
      </c>
      <c r="C720" s="5" t="str">
        <f t="shared" ref="C720:C726" si="457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58">SUM(G721,G723)</f>
        <v>0</v>
      </c>
      <c r="H720" s="18">
        <f t="shared" si="458"/>
        <v>0</v>
      </c>
      <c r="I720" s="18">
        <f t="shared" si="458"/>
        <v>0</v>
      </c>
      <c r="J720" s="18">
        <f t="shared" si="458"/>
        <v>5.5622389524981193</v>
      </c>
      <c r="K720" s="18">
        <f t="shared" si="458"/>
        <v>2.4617987985319916</v>
      </c>
    </row>
    <row r="721" spans="2:13" x14ac:dyDescent="0.25">
      <c r="B721" s="5" t="str">
        <f t="shared" si="439"/>
        <v>SPS3</v>
      </c>
      <c r="C721" s="5" t="str">
        <f t="shared" si="457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59">G722</f>
        <v>0</v>
      </c>
      <c r="H721" s="18">
        <f t="shared" si="459"/>
        <v>0</v>
      </c>
      <c r="I721" s="18">
        <f t="shared" si="459"/>
        <v>0</v>
      </c>
      <c r="J721" s="18">
        <f t="shared" si="459"/>
        <v>9.2991866235607478E-4</v>
      </c>
      <c r="K721" s="18">
        <f t="shared" si="459"/>
        <v>1.5145465142414569E-4</v>
      </c>
    </row>
    <row r="722" spans="2:13" x14ac:dyDescent="0.25">
      <c r="B722" s="5" t="str">
        <f t="shared" si="439"/>
        <v>SPS3</v>
      </c>
      <c r="C722" s="5" t="str">
        <f t="shared" si="457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9.2991866235607478E-4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1.5145465142414569E-4</v>
      </c>
    </row>
    <row r="723" spans="2:13" x14ac:dyDescent="0.25">
      <c r="B723" s="5" t="str">
        <f t="shared" si="439"/>
        <v>SPS3</v>
      </c>
      <c r="C723" s="5" t="str">
        <f t="shared" si="457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60">SUM(G724:G726)</f>
        <v>0</v>
      </c>
      <c r="H723" s="18">
        <f t="shared" si="460"/>
        <v>0</v>
      </c>
      <c r="I723" s="18">
        <f t="shared" si="460"/>
        <v>0</v>
      </c>
      <c r="J723" s="18">
        <f t="shared" si="460"/>
        <v>5.5613090338357631</v>
      </c>
      <c r="K723" s="18">
        <f t="shared" si="460"/>
        <v>2.4616473438805673</v>
      </c>
    </row>
    <row r="724" spans="2:13" x14ac:dyDescent="0.25">
      <c r="B724" s="5" t="str">
        <f t="shared" si="439"/>
        <v>SPS3</v>
      </c>
      <c r="C724" s="5" t="str">
        <f t="shared" si="457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1.7306707871891278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0.21165917596987488</v>
      </c>
    </row>
    <row r="725" spans="2:13" x14ac:dyDescent="0.25">
      <c r="B725" s="5" t="str">
        <f t="shared" si="439"/>
        <v>SPS3</v>
      </c>
      <c r="C725" s="5" t="str">
        <f t="shared" si="457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3.1499440908225593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2.2499881679106926</v>
      </c>
    </row>
    <row r="726" spans="2:13" x14ac:dyDescent="0.25">
      <c r="B726" s="5" t="str">
        <f t="shared" si="439"/>
        <v>SPS3</v>
      </c>
      <c r="C726" s="5" t="str">
        <f t="shared" si="457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0.68069415582407644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 t="shared" si="439"/>
        <v>SPS3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 t="shared" si="439"/>
        <v>SPS3</v>
      </c>
      <c r="C728" s="5" t="str">
        <f t="shared" ref="C728:C733" si="46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62">IFERROR(G714/G722,"-")</f>
        <v>-</v>
      </c>
      <c r="H728" s="14" t="str">
        <f t="shared" si="462"/>
        <v>-</v>
      </c>
      <c r="I728" s="14" t="str">
        <f t="shared" si="462"/>
        <v>-</v>
      </c>
      <c r="J728" s="14">
        <f t="shared" si="462"/>
        <v>0.77000000000000013</v>
      </c>
      <c r="K728" s="14">
        <f t="shared" si="462"/>
        <v>0.76999999999999935</v>
      </c>
    </row>
    <row r="729" spans="2:13" x14ac:dyDescent="0.25">
      <c r="B729" s="5" t="str">
        <f t="shared" si="439"/>
        <v>SPS3</v>
      </c>
      <c r="C729" s="5" t="str">
        <f t="shared" si="46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63">IFERROR(G716/G724,"-")</f>
        <v>-</v>
      </c>
      <c r="H729" s="16" t="str">
        <f t="shared" si="463"/>
        <v>-</v>
      </c>
      <c r="I729" s="16" t="str">
        <f t="shared" si="463"/>
        <v>-</v>
      </c>
      <c r="J729" s="16">
        <f t="shared" si="463"/>
        <v>0.57999999999999885</v>
      </c>
      <c r="K729" s="16">
        <f t="shared" si="463"/>
        <v>0.57999903841980283</v>
      </c>
      <c r="L729" s="9"/>
      <c r="M729" s="9"/>
    </row>
    <row r="730" spans="2:13" x14ac:dyDescent="0.25">
      <c r="B730" s="5" t="str">
        <f t="shared" si="439"/>
        <v>SPS3</v>
      </c>
      <c r="C730" s="5" t="str">
        <f t="shared" si="46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64">IFERROR(G717/G725,"-")</f>
        <v>-</v>
      </c>
      <c r="H730" s="16" t="str">
        <f t="shared" si="464"/>
        <v>-</v>
      </c>
      <c r="I730" s="16" t="str">
        <f t="shared" si="464"/>
        <v>-</v>
      </c>
      <c r="J730" s="16">
        <f t="shared" si="464"/>
        <v>0.70000000000000007</v>
      </c>
      <c r="K730" s="16">
        <f t="shared" si="464"/>
        <v>0.69999999999999951</v>
      </c>
      <c r="L730" s="9"/>
      <c r="M730" s="9"/>
    </row>
    <row r="731" spans="2:13" x14ac:dyDescent="0.25">
      <c r="B731" s="5" t="str">
        <f t="shared" si="439"/>
        <v>SPS3</v>
      </c>
      <c r="C731" s="5" t="str">
        <f t="shared" si="46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65">IFERROR(G718/G726,"-")</f>
        <v>-</v>
      </c>
      <c r="H731" s="16" t="str">
        <f t="shared" si="465"/>
        <v>-</v>
      </c>
      <c r="I731" s="16" t="str">
        <f t="shared" si="465"/>
        <v>-</v>
      </c>
      <c r="J731" s="16">
        <f t="shared" si="465"/>
        <v>0.57999999999999863</v>
      </c>
      <c r="K731" s="16" t="str">
        <f t="shared" si="465"/>
        <v>-</v>
      </c>
      <c r="L731" s="9"/>
      <c r="M731" s="9"/>
    </row>
    <row r="732" spans="2:13" x14ac:dyDescent="0.25">
      <c r="B732" s="5" t="str">
        <f t="shared" si="439"/>
        <v>SPS3</v>
      </c>
      <c r="C732" s="5" t="str">
        <f t="shared" si="46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66">G733</f>
        <v>0</v>
      </c>
      <c r="H732" s="17">
        <f t="shared" ref="H732" si="467">H733</f>
        <v>0</v>
      </c>
      <c r="I732" s="17">
        <f t="shared" ref="I732" si="468">I733</f>
        <v>0</v>
      </c>
      <c r="J732" s="17">
        <f t="shared" ref="J732" si="469">J733</f>
        <v>0.26528326542682562</v>
      </c>
      <c r="K732" s="17">
        <f t="shared" ref="K732" si="470">K733</f>
        <v>0.12523944433405165</v>
      </c>
      <c r="L732" s="9"/>
      <c r="M732" s="9"/>
    </row>
    <row r="733" spans="2:13" x14ac:dyDescent="0.25">
      <c r="B733" s="5" t="str">
        <f t="shared" si="439"/>
        <v>SPS3</v>
      </c>
      <c r="C733" s="5" t="str">
        <f t="shared" si="46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71">SUM(G737,G739)</f>
        <v>0</v>
      </c>
      <c r="H733" s="18">
        <f t="shared" ref="H733" si="472">SUM(H737,H739)</f>
        <v>0</v>
      </c>
      <c r="I733" s="18">
        <f t="shared" ref="I733" si="473">SUM(I737,I739)</f>
        <v>0</v>
      </c>
      <c r="J733" s="18">
        <f t="shared" ref="J733" si="474">SUM(J737,J739)</f>
        <v>0.26528326542682562</v>
      </c>
      <c r="K733" s="18">
        <f t="shared" ref="K733" si="475">SUM(K737,K739)</f>
        <v>0.12523944433405165</v>
      </c>
      <c r="L733" s="9"/>
      <c r="M733" s="9"/>
    </row>
    <row r="734" spans="2:13" x14ac:dyDescent="0.25">
      <c r="B734" s="5" t="str">
        <f t="shared" si="439"/>
        <v>SPS3</v>
      </c>
      <c r="C734" s="5" t="str">
        <f t="shared" ref="B734:C736" si="476">C733</f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2.1856319605015788E-3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8.5298556717347998E-2</v>
      </c>
      <c r="L734" s="9"/>
      <c r="M734" s="9"/>
    </row>
    <row r="735" spans="2:13" x14ac:dyDescent="0.25">
      <c r="B735" s="5" t="str">
        <f t="shared" si="439"/>
        <v>SPS3</v>
      </c>
      <c r="C735" s="5" t="str">
        <f t="shared" si="476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0.26309484390777144</v>
      </c>
      <c r="K735" s="18">
        <f>K733-K734-K736</f>
        <v>3.9940619354347388E-2</v>
      </c>
      <c r="L735" s="9"/>
      <c r="M735" s="9"/>
    </row>
    <row r="736" spans="2:13" x14ac:dyDescent="0.25">
      <c r="B736" s="5" t="str">
        <f t="shared" si="439"/>
        <v>SPS3</v>
      </c>
      <c r="C736" s="5" t="str">
        <f t="shared" si="476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2.78955855258733E-6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2.6826235626644471E-7</v>
      </c>
      <c r="L736" s="9"/>
    </row>
    <row r="737" spans="2:13" x14ac:dyDescent="0.25">
      <c r="B737" s="5" t="str">
        <f t="shared" si="439"/>
        <v>SPS3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77">G738</f>
        <v>0</v>
      </c>
      <c r="H737" s="18">
        <f t="shared" ref="H737" si="478">H738</f>
        <v>0</v>
      </c>
      <c r="I737" s="18">
        <f t="shared" ref="I737" si="479">I738</f>
        <v>0</v>
      </c>
      <c r="J737" s="18">
        <f t="shared" ref="J737" si="480">J738</f>
        <v>4.0384507668799622E-5</v>
      </c>
      <c r="K737" s="18">
        <f t="shared" ref="K737" si="481">K738</f>
        <v>6.5773726020477992E-6</v>
      </c>
      <c r="L737" s="9"/>
    </row>
    <row r="738" spans="2:13" x14ac:dyDescent="0.25">
      <c r="B738" s="5" t="str">
        <f t="shared" si="439"/>
        <v>SPS3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4.0384507668799622E-5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6.5773726020477992E-6</v>
      </c>
      <c r="L738" s="9"/>
    </row>
    <row r="739" spans="2:13" x14ac:dyDescent="0.25">
      <c r="B739" s="5" t="str">
        <f t="shared" si="439"/>
        <v>SPS3</v>
      </c>
      <c r="C739" s="5" t="str">
        <f t="shared" ref="C739:C742" si="482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83">SUM(G740:G742)</f>
        <v>0</v>
      </c>
      <c r="H739" s="18">
        <f t="shared" ref="H739" si="484">SUM(H740:H742)</f>
        <v>0</v>
      </c>
      <c r="I739" s="18">
        <f t="shared" ref="I739" si="485">SUM(I740:I742)</f>
        <v>0</v>
      </c>
      <c r="J739" s="18">
        <f t="shared" ref="J739" si="486">SUM(J740:J742)</f>
        <v>0.26524288091915682</v>
      </c>
      <c r="K739" s="18">
        <f t="shared" ref="K739" si="487">SUM(K740:K742)</f>
        <v>0.12523286696144961</v>
      </c>
      <c r="L739" s="9"/>
    </row>
    <row r="740" spans="2:13" x14ac:dyDescent="0.25">
      <c r="B740" s="5" t="str">
        <f t="shared" si="439"/>
        <v>SPS3</v>
      </c>
      <c r="C740" s="5" t="str">
        <f t="shared" si="482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7.3577737846558716E-2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8.9984782071832799E-3</v>
      </c>
      <c r="L740" s="9"/>
    </row>
    <row r="741" spans="2:13" x14ac:dyDescent="0.25">
      <c r="B741" s="5" t="str">
        <f t="shared" si="439"/>
        <v>SPS3</v>
      </c>
      <c r="C741" s="5" t="str">
        <f t="shared" si="482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0.16272611173189325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0.11623438875426632</v>
      </c>
      <c r="L741" s="9"/>
      <c r="M741" s="9"/>
    </row>
    <row r="742" spans="2:13" x14ac:dyDescent="0.25">
      <c r="B742" s="5" t="str">
        <f t="shared" si="439"/>
        <v>SPS3</v>
      </c>
      <c r="C742" s="5" t="str">
        <f t="shared" si="482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2.8939031340704829E-2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 t="shared" si="439"/>
        <v>SPS3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488">IFERROR(G$734/G$733,0)*G737</f>
        <v>0</v>
      </c>
      <c r="H743" s="18">
        <f t="shared" si="488"/>
        <v>0</v>
      </c>
      <c r="I743" s="18">
        <f t="shared" si="488"/>
        <v>0</v>
      </c>
      <c r="J743" s="18">
        <f t="shared" si="488"/>
        <v>3.3272234691485399E-7</v>
      </c>
      <c r="K743" s="18">
        <f t="shared" si="488"/>
        <v>4.4797419289919536E-6</v>
      </c>
    </row>
    <row r="744" spans="2:13" x14ac:dyDescent="0.25">
      <c r="B744" s="5" t="str">
        <f t="shared" si="439"/>
        <v>SPS3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489">IFERROR(F$734/F$733,0)*F738</f>
        <v>0</v>
      </c>
      <c r="G744" s="18">
        <f t="shared" si="489"/>
        <v>0</v>
      </c>
      <c r="H744" s="18">
        <f t="shared" si="489"/>
        <v>0</v>
      </c>
      <c r="I744" s="18">
        <f t="shared" si="489"/>
        <v>0</v>
      </c>
      <c r="J744" s="18">
        <f t="shared" si="489"/>
        <v>3.3272234691485399E-7</v>
      </c>
      <c r="K744" s="18">
        <f t="shared" si="489"/>
        <v>4.4797419289919536E-6</v>
      </c>
    </row>
    <row r="745" spans="2:13" x14ac:dyDescent="0.25">
      <c r="B745" s="5" t="str">
        <f t="shared" si="439"/>
        <v>SPS3</v>
      </c>
      <c r="C745" s="5" t="str">
        <f t="shared" ref="C745:C748" si="490">C744</f>
        <v>CH</v>
      </c>
      <c r="D745" t="s">
        <v>935</v>
      </c>
      <c r="E745" s="5" t="s">
        <v>442</v>
      </c>
      <c r="F745" s="18">
        <f t="shared" ref="F745:K745" si="491">IFERROR(F$734/F$733,0)*F739</f>
        <v>0</v>
      </c>
      <c r="G745" s="18">
        <f t="shared" si="491"/>
        <v>0</v>
      </c>
      <c r="H745" s="18">
        <f t="shared" si="491"/>
        <v>0</v>
      </c>
      <c r="I745" s="18">
        <f t="shared" si="491"/>
        <v>0</v>
      </c>
      <c r="J745" s="18">
        <f t="shared" si="491"/>
        <v>2.1852992381546639E-3</v>
      </c>
      <c r="K745" s="18">
        <f t="shared" si="491"/>
        <v>8.529407697541902E-2</v>
      </c>
    </row>
    <row r="746" spans="2:13" x14ac:dyDescent="0.25">
      <c r="B746" s="5" t="str">
        <f t="shared" si="439"/>
        <v>SPS3</v>
      </c>
      <c r="C746" s="5" t="str">
        <f t="shared" si="490"/>
        <v>CH</v>
      </c>
      <c r="D746" t="s">
        <v>457</v>
      </c>
      <c r="E746" s="5" t="s">
        <v>442</v>
      </c>
      <c r="F746" s="18">
        <f t="shared" ref="F746:K746" si="492">IFERROR(F$734/F$733,0)*F740</f>
        <v>0</v>
      </c>
      <c r="G746" s="18">
        <f t="shared" si="492"/>
        <v>0</v>
      </c>
      <c r="H746" s="18">
        <f t="shared" si="492"/>
        <v>0</v>
      </c>
      <c r="I746" s="18">
        <f t="shared" si="492"/>
        <v>0</v>
      </c>
      <c r="J746" s="18">
        <f t="shared" si="492"/>
        <v>6.0619675786976253E-4</v>
      </c>
      <c r="K746" s="18">
        <f t="shared" si="492"/>
        <v>6.1287177359070251E-3</v>
      </c>
    </row>
    <row r="747" spans="2:13" x14ac:dyDescent="0.25">
      <c r="B747" s="5" t="str">
        <f t="shared" si="439"/>
        <v>SPS3</v>
      </c>
      <c r="C747" s="5" t="str">
        <f t="shared" si="490"/>
        <v>CH</v>
      </c>
      <c r="D747" t="s">
        <v>458</v>
      </c>
      <c r="E747" s="5" t="s">
        <v>442</v>
      </c>
      <c r="F747" s="18">
        <f t="shared" ref="F747:K747" si="493">IFERROR(F$734/F$733,0)*F741</f>
        <v>0</v>
      </c>
      <c r="G747" s="18">
        <f t="shared" si="493"/>
        <v>0</v>
      </c>
      <c r="H747" s="18">
        <f t="shared" si="493"/>
        <v>0</v>
      </c>
      <c r="I747" s="18">
        <f t="shared" si="493"/>
        <v>0</v>
      </c>
      <c r="J747" s="18">
        <f t="shared" si="493"/>
        <v>1.3406778223916279E-3</v>
      </c>
      <c r="K747" s="18">
        <f t="shared" si="493"/>
        <v>7.9165359239511984E-2</v>
      </c>
    </row>
    <row r="748" spans="2:13" x14ac:dyDescent="0.25">
      <c r="B748" s="5" t="str">
        <f t="shared" si="439"/>
        <v>SPS3</v>
      </c>
      <c r="C748" s="5" t="str">
        <f t="shared" si="490"/>
        <v>CH</v>
      </c>
      <c r="D748" t="s">
        <v>459</v>
      </c>
      <c r="E748" s="5" t="s">
        <v>442</v>
      </c>
      <c r="F748" s="18">
        <f t="shared" ref="F748:K748" si="494">IFERROR(F$734/F$733,0)*F742</f>
        <v>0</v>
      </c>
      <c r="G748" s="18">
        <f t="shared" si="494"/>
        <v>0</v>
      </c>
      <c r="H748" s="18">
        <f t="shared" si="494"/>
        <v>0</v>
      </c>
      <c r="I748" s="18">
        <f t="shared" si="494"/>
        <v>0</v>
      </c>
      <c r="J748" s="18">
        <f t="shared" si="494"/>
        <v>2.3842465789327335E-4</v>
      </c>
      <c r="K748" s="18">
        <f t="shared" si="494"/>
        <v>0</v>
      </c>
    </row>
    <row r="749" spans="2:13" x14ac:dyDescent="0.25">
      <c r="B749" s="5" t="str">
        <f t="shared" si="439"/>
        <v>SPS3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495">IFERROR(G$735/G$733,0)*G737</f>
        <v>0</v>
      </c>
      <c r="H749" s="18">
        <f t="shared" si="495"/>
        <v>0</v>
      </c>
      <c r="I749" s="18">
        <f t="shared" si="495"/>
        <v>0</v>
      </c>
      <c r="J749" s="18">
        <f t="shared" si="495"/>
        <v>4.0051360662799776E-5</v>
      </c>
      <c r="K749" s="18">
        <f t="shared" si="495"/>
        <v>2.09761658435175E-6</v>
      </c>
    </row>
    <row r="750" spans="2:13" x14ac:dyDescent="0.25">
      <c r="B750" s="5" t="str">
        <f t="shared" si="439"/>
        <v>SPS3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496">IFERROR(F$735/F$733,0)*F738</f>
        <v>0</v>
      </c>
      <c r="G750" s="18">
        <f t="shared" si="496"/>
        <v>0</v>
      </c>
      <c r="H750" s="18">
        <f t="shared" si="496"/>
        <v>0</v>
      </c>
      <c r="I750" s="18">
        <f t="shared" si="496"/>
        <v>0</v>
      </c>
      <c r="J750" s="18">
        <f t="shared" si="496"/>
        <v>4.0051360662799776E-5</v>
      </c>
      <c r="K750" s="18">
        <f t="shared" si="496"/>
        <v>2.09761658435175E-6</v>
      </c>
    </row>
    <row r="751" spans="2:13" x14ac:dyDescent="0.25">
      <c r="B751" s="5" t="str">
        <f t="shared" si="439"/>
        <v>SPS3</v>
      </c>
      <c r="C751" s="5" t="str">
        <f t="shared" ref="C751:C754" si="497">C750</f>
        <v>CH</v>
      </c>
      <c r="D751" t="s">
        <v>937</v>
      </c>
      <c r="E751" s="5" t="s">
        <v>442</v>
      </c>
      <c r="F751" s="18">
        <f t="shared" ref="F751:K751" si="498">IFERROR(F$735/F$733,0)*F739</f>
        <v>0</v>
      </c>
      <c r="G751" s="18">
        <f t="shared" si="498"/>
        <v>0</v>
      </c>
      <c r="H751" s="18">
        <f t="shared" si="498"/>
        <v>0</v>
      </c>
      <c r="I751" s="18">
        <f t="shared" si="498"/>
        <v>0</v>
      </c>
      <c r="J751" s="18">
        <f t="shared" si="498"/>
        <v>0.26305479254710862</v>
      </c>
      <c r="K751" s="18">
        <f t="shared" si="498"/>
        <v>3.9938521737763036E-2</v>
      </c>
    </row>
    <row r="752" spans="2:13" x14ac:dyDescent="0.25">
      <c r="B752" s="5" t="str">
        <f t="shared" si="439"/>
        <v>SPS3</v>
      </c>
      <c r="C752" s="5" t="str">
        <f t="shared" si="497"/>
        <v>CH</v>
      </c>
      <c r="D752" t="s">
        <v>461</v>
      </c>
      <c r="E752" s="5" t="s">
        <v>442</v>
      </c>
      <c r="F752" s="18">
        <f t="shared" ref="F752:K752" si="499">IFERROR(F$735/F$733,0)*F740</f>
        <v>0</v>
      </c>
      <c r="G752" s="18">
        <f t="shared" si="499"/>
        <v>0</v>
      </c>
      <c r="H752" s="18">
        <f t="shared" si="499"/>
        <v>0</v>
      </c>
      <c r="I752" s="18">
        <f t="shared" si="499"/>
        <v>0</v>
      </c>
      <c r="J752" s="18">
        <f t="shared" si="499"/>
        <v>7.2970767389648569E-2</v>
      </c>
      <c r="K752" s="18">
        <f t="shared" si="499"/>
        <v>2.8697411965742672E-3</v>
      </c>
    </row>
    <row r="753" spans="2:13" x14ac:dyDescent="0.25">
      <c r="B753" s="5" t="str">
        <f t="shared" si="439"/>
        <v>SPS3</v>
      </c>
      <c r="C753" s="5" t="str">
        <f t="shared" si="497"/>
        <v>CH</v>
      </c>
      <c r="D753" t="s">
        <v>462</v>
      </c>
      <c r="E753" s="5" t="s">
        <v>442</v>
      </c>
      <c r="F753" s="18">
        <f t="shared" ref="F753:K753" si="500">IFERROR(F$735/F$733,0)*F741</f>
        <v>0</v>
      </c>
      <c r="G753" s="18">
        <f t="shared" si="500"/>
        <v>0</v>
      </c>
      <c r="H753" s="18">
        <f t="shared" si="500"/>
        <v>0</v>
      </c>
      <c r="I753" s="18">
        <f t="shared" si="500"/>
        <v>0</v>
      </c>
      <c r="J753" s="18">
        <f t="shared" si="500"/>
        <v>0.16138372278001903</v>
      </c>
      <c r="K753" s="18">
        <f t="shared" si="500"/>
        <v>3.706878054118877E-2</v>
      </c>
    </row>
    <row r="754" spans="2:13" x14ac:dyDescent="0.25">
      <c r="B754" s="5" t="str">
        <f t="shared" si="439"/>
        <v>SPS3</v>
      </c>
      <c r="C754" s="5" t="str">
        <f t="shared" si="497"/>
        <v>CH</v>
      </c>
      <c r="D754" t="s">
        <v>463</v>
      </c>
      <c r="E754" s="5" t="s">
        <v>442</v>
      </c>
      <c r="F754" s="18">
        <f t="shared" ref="F754:K754" si="501">IFERROR(F$735/F$733,0)*F742</f>
        <v>0</v>
      </c>
      <c r="G754" s="18">
        <f t="shared" si="501"/>
        <v>0</v>
      </c>
      <c r="H754" s="18">
        <f t="shared" si="501"/>
        <v>0</v>
      </c>
      <c r="I754" s="18">
        <f t="shared" si="501"/>
        <v>0</v>
      </c>
      <c r="J754" s="18">
        <f t="shared" si="501"/>
        <v>2.870030237744103E-2</v>
      </c>
      <c r="K754" s="18">
        <f t="shared" si="501"/>
        <v>0</v>
      </c>
    </row>
    <row r="755" spans="2:13" x14ac:dyDescent="0.25">
      <c r="B755" s="5" t="str">
        <f t="shared" si="439"/>
        <v>SPS3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02">IFERROR(G$736/G$733,0)*G737</f>
        <v>0</v>
      </c>
      <c r="H755" s="18">
        <f t="shared" si="502"/>
        <v>0</v>
      </c>
      <c r="I755" s="18">
        <f t="shared" si="502"/>
        <v>0</v>
      </c>
      <c r="J755" s="18">
        <f t="shared" si="502"/>
        <v>4.2465908499080498E-10</v>
      </c>
      <c r="K755" s="18">
        <f t="shared" si="502"/>
        <v>1.4088704095183817E-11</v>
      </c>
    </row>
    <row r="756" spans="2:13" x14ac:dyDescent="0.25">
      <c r="B756" s="5" t="str">
        <f t="shared" ref="B756:B819" si="503">B755</f>
        <v>SPS3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04">IFERROR(F$736/F$733,0)*F738</f>
        <v>0</v>
      </c>
      <c r="G756" s="18">
        <f t="shared" si="504"/>
        <v>0</v>
      </c>
      <c r="H756" s="18">
        <f t="shared" si="504"/>
        <v>0</v>
      </c>
      <c r="I756" s="18">
        <f t="shared" si="504"/>
        <v>0</v>
      </c>
      <c r="J756" s="18">
        <f t="shared" si="504"/>
        <v>4.2465908499080498E-10</v>
      </c>
      <c r="K756" s="18">
        <f t="shared" si="504"/>
        <v>1.4088704095183817E-11</v>
      </c>
    </row>
    <row r="757" spans="2:13" x14ac:dyDescent="0.25">
      <c r="B757" s="5" t="str">
        <f t="shared" si="503"/>
        <v>SPS3</v>
      </c>
      <c r="C757" s="5" t="str">
        <f t="shared" ref="C757:C760" si="505">C756</f>
        <v>CH</v>
      </c>
      <c r="D757" t="s">
        <v>939</v>
      </c>
      <c r="E757" s="5" t="s">
        <v>442</v>
      </c>
      <c r="F757" s="18">
        <f t="shared" ref="F757:K757" si="506">IFERROR(F$736/F$733,0)*F739</f>
        <v>0</v>
      </c>
      <c r="G757" s="18">
        <f t="shared" si="506"/>
        <v>0</v>
      </c>
      <c r="H757" s="18">
        <f t="shared" si="506"/>
        <v>0</v>
      </c>
      <c r="I757" s="18">
        <f t="shared" si="506"/>
        <v>0</v>
      </c>
      <c r="J757" s="18">
        <f t="shared" si="506"/>
        <v>2.7891338935023394E-6</v>
      </c>
      <c r="K757" s="18">
        <f t="shared" si="506"/>
        <v>2.6824826756234951E-7</v>
      </c>
    </row>
    <row r="758" spans="2:13" x14ac:dyDescent="0.25">
      <c r="B758" s="5" t="str">
        <f t="shared" si="503"/>
        <v>SPS3</v>
      </c>
      <c r="C758" s="5" t="str">
        <f t="shared" si="505"/>
        <v>CH</v>
      </c>
      <c r="D758" t="s">
        <v>465</v>
      </c>
      <c r="E758" s="5" t="s">
        <v>442</v>
      </c>
      <c r="F758" s="18">
        <f t="shared" ref="F758:K758" si="507">IFERROR(F$736/F$733,0)*F740</f>
        <v>0</v>
      </c>
      <c r="G758" s="18">
        <f t="shared" si="507"/>
        <v>0</v>
      </c>
      <c r="H758" s="18">
        <f t="shared" si="507"/>
        <v>0</v>
      </c>
      <c r="I758" s="18">
        <f t="shared" si="507"/>
        <v>0</v>
      </c>
      <c r="J758" s="18">
        <f t="shared" si="507"/>
        <v>7.7369904038108765E-7</v>
      </c>
      <c r="K758" s="18">
        <f t="shared" si="507"/>
        <v>1.9274701987917588E-8</v>
      </c>
    </row>
    <row r="759" spans="2:13" x14ac:dyDescent="0.25">
      <c r="B759" s="5" t="str">
        <f t="shared" si="503"/>
        <v>SPS3</v>
      </c>
      <c r="C759" s="5" t="str">
        <f t="shared" si="505"/>
        <v>CH</v>
      </c>
      <c r="D759" t="s">
        <v>466</v>
      </c>
      <c r="E759" s="5" t="s">
        <v>442</v>
      </c>
      <c r="F759" s="18">
        <f t="shared" ref="F759:K759" si="508">IFERROR(F$736/F$733,0)*F741</f>
        <v>0</v>
      </c>
      <c r="G759" s="18">
        <f t="shared" si="508"/>
        <v>0</v>
      </c>
      <c r="H759" s="18">
        <f t="shared" si="508"/>
        <v>0</v>
      </c>
      <c r="I759" s="18">
        <f t="shared" si="508"/>
        <v>0</v>
      </c>
      <c r="J759" s="18">
        <f t="shared" si="508"/>
        <v>1.7111294825952567E-6</v>
      </c>
      <c r="K759" s="18">
        <f t="shared" si="508"/>
        <v>2.4897356557443191E-7</v>
      </c>
    </row>
    <row r="760" spans="2:13" x14ac:dyDescent="0.25">
      <c r="B760" s="5" t="str">
        <f t="shared" si="503"/>
        <v>SPS3</v>
      </c>
      <c r="C760" s="5" t="str">
        <f t="shared" si="505"/>
        <v>CH</v>
      </c>
      <c r="D760" t="s">
        <v>467</v>
      </c>
      <c r="E760" s="5" t="s">
        <v>442</v>
      </c>
      <c r="F760" s="18">
        <f t="shared" ref="F760:K760" si="509">IFERROR(F$736/F$733,0)*F742</f>
        <v>0</v>
      </c>
      <c r="G760" s="18">
        <f t="shared" si="509"/>
        <v>0</v>
      </c>
      <c r="H760" s="18">
        <f t="shared" si="509"/>
        <v>0</v>
      </c>
      <c r="I760" s="18">
        <f t="shared" si="509"/>
        <v>0</v>
      </c>
      <c r="J760" s="18">
        <f t="shared" si="509"/>
        <v>3.0430537052599464E-7</v>
      </c>
      <c r="K760" s="18">
        <f t="shared" si="509"/>
        <v>0</v>
      </c>
    </row>
    <row r="761" spans="2:13" x14ac:dyDescent="0.25">
      <c r="B761" s="9" t="str">
        <f t="shared" si="503"/>
        <v>SPS3</v>
      </c>
      <c r="C761" s="9" t="str">
        <f t="shared" ref="C761:C775" si="510">C760</f>
        <v>CH</v>
      </c>
      <c r="D761" s="2" t="s">
        <v>496</v>
      </c>
      <c r="E761" s="9" t="s">
        <v>8</v>
      </c>
      <c r="F761" s="17">
        <f t="shared" ref="F761:K761" si="511">F762+F766+F776+F787+F789+F801+F803+F805+F809+F811+F813</f>
        <v>142.21744968543103</v>
      </c>
      <c r="G761" s="17">
        <f t="shared" si="511"/>
        <v>140.24834600316041</v>
      </c>
      <c r="H761" s="17">
        <f t="shared" si="511"/>
        <v>141.82960083697273</v>
      </c>
      <c r="I761" s="17">
        <f t="shared" si="511"/>
        <v>141.30361191632753</v>
      </c>
      <c r="J761" s="17">
        <f t="shared" si="511"/>
        <v>140.25820586500572</v>
      </c>
      <c r="K761" s="17">
        <f t="shared" si="511"/>
        <v>118.56141975196762</v>
      </c>
    </row>
    <row r="762" spans="2:13" x14ac:dyDescent="0.25">
      <c r="B762" s="5" t="str">
        <f t="shared" si="503"/>
        <v>SPS3</v>
      </c>
      <c r="C762" s="5" t="str">
        <f t="shared" si="510"/>
        <v>CH</v>
      </c>
      <c r="D762" t="s">
        <v>940</v>
      </c>
      <c r="E762" t="s">
        <v>8</v>
      </c>
      <c r="F762" s="18">
        <f>[1]Industry!B$11</f>
        <v>60.070025383637869</v>
      </c>
      <c r="G762" s="18">
        <f>[1]Industry!C$11</f>
        <v>62.621480109956707</v>
      </c>
      <c r="H762" s="18">
        <f>[1]Industry!D$11</f>
        <v>67.582234725221298</v>
      </c>
      <c r="I762" s="18">
        <f>[1]Industry!E$11</f>
        <v>69.672900630485245</v>
      </c>
      <c r="J762" s="18">
        <f>[1]Industry!F$11</f>
        <v>70.868897338965681</v>
      </c>
      <c r="K762" s="18">
        <f>[1]Industry!G$11</f>
        <v>66.409366229398017</v>
      </c>
    </row>
    <row r="763" spans="2:13" x14ac:dyDescent="0.25">
      <c r="B763" s="5" t="str">
        <f t="shared" si="503"/>
        <v>SPS3</v>
      </c>
      <c r="C763" s="5" t="str">
        <f t="shared" si="510"/>
        <v>CH</v>
      </c>
      <c r="D763" t="s">
        <v>758</v>
      </c>
      <c r="E763" t="s">
        <v>8</v>
      </c>
      <c r="F763" s="1">
        <f t="shared" ref="F763:J763" si="512">F762-F764-F765</f>
        <v>11.646948526659656</v>
      </c>
      <c r="G763" s="1">
        <f t="shared" si="512"/>
        <v>12.258978947522706</v>
      </c>
      <c r="H763" s="1">
        <f t="shared" si="512"/>
        <v>14.947566726427375</v>
      </c>
      <c r="I763" s="1">
        <f t="shared" si="512"/>
        <v>14.927799022002262</v>
      </c>
      <c r="J763" s="1">
        <f t="shared" si="512"/>
        <v>14.888417755683108</v>
      </c>
      <c r="K763" s="1">
        <f>K762-K764-K765</f>
        <v>14.849243173163075</v>
      </c>
      <c r="L763" s="1"/>
      <c r="M763" s="1"/>
    </row>
    <row r="764" spans="2:13" x14ac:dyDescent="0.25">
      <c r="B764" s="5" t="str">
        <f t="shared" si="503"/>
        <v>SPS3</v>
      </c>
      <c r="C764" s="5" t="str">
        <f t="shared" si="510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0.35967920480721222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0.45106345010758231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1.1353476575492407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1.8021508064065737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1.7356404759787762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1.6738587903032429</v>
      </c>
    </row>
    <row r="765" spans="2:13" x14ac:dyDescent="0.25">
      <c r="B765" s="5" t="str">
        <f t="shared" si="503"/>
        <v>SPS3</v>
      </c>
      <c r="C765" s="5" t="str">
        <f t="shared" si="510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49.911437712326418</v>
      </c>
      <c r="H765" s="1">
        <f>[1]Industry!D$11-[1]Industry!D$33</f>
        <v>51.499320341244676</v>
      </c>
      <c r="I765" s="1">
        <f>[1]Industry!E$11-[1]Industry!E$33</f>
        <v>52.94295080207641</v>
      </c>
      <c r="J765" s="1">
        <f>[1]Industry!F$11-[1]Industry!F$33</f>
        <v>54.244839107303804</v>
      </c>
      <c r="K765" s="1">
        <f>[1]Industry!G$11-[1]Industry!G$33</f>
        <v>49.8862642659317</v>
      </c>
    </row>
    <row r="766" spans="2:13" x14ac:dyDescent="0.25">
      <c r="B766" s="5" t="str">
        <f t="shared" si="503"/>
        <v>SPS3</v>
      </c>
      <c r="C766" s="5" t="str">
        <f t="shared" si="510"/>
        <v>CH</v>
      </c>
      <c r="D766" t="s">
        <v>469</v>
      </c>
      <c r="E766" t="s">
        <v>8</v>
      </c>
      <c r="F766" s="1">
        <f>SUM(F769,F774)</f>
        <v>11.62780934700659</v>
      </c>
      <c r="G766" s="1">
        <f t="shared" ref="G766:K766" si="513">SUM(G769,G774)</f>
        <v>7.9535568632552538</v>
      </c>
      <c r="H766" s="1">
        <f t="shared" si="513"/>
        <v>7.9343499768442882</v>
      </c>
      <c r="I766" s="1">
        <f t="shared" si="513"/>
        <v>6.286918984475065</v>
      </c>
      <c r="J766" s="1">
        <f t="shared" si="513"/>
        <v>3.1088728609223422</v>
      </c>
      <c r="K766" s="1">
        <f t="shared" si="513"/>
        <v>0.19715692092413098</v>
      </c>
    </row>
    <row r="767" spans="2:13" x14ac:dyDescent="0.25">
      <c r="B767" s="5" t="str">
        <f t="shared" si="503"/>
        <v>SPS3</v>
      </c>
      <c r="C767" s="5" t="str">
        <f t="shared" si="510"/>
        <v>CH</v>
      </c>
      <c r="D767" t="s">
        <v>470</v>
      </c>
      <c r="E767" t="s">
        <v>8</v>
      </c>
      <c r="F767" s="1">
        <f>SUM(F771,F775)</f>
        <v>8.897807271648885</v>
      </c>
      <c r="G767" s="1">
        <f t="shared" ref="G767:K767" si="514">SUM(G771,G775)</f>
        <v>7.9524938328792727</v>
      </c>
      <c r="H767" s="1">
        <f t="shared" si="514"/>
        <v>7.9329558289189439</v>
      </c>
      <c r="I767" s="1">
        <f t="shared" si="514"/>
        <v>6.2845677617275406</v>
      </c>
      <c r="J767" s="1">
        <f t="shared" si="514"/>
        <v>3.1085189879660926</v>
      </c>
      <c r="K767" s="1">
        <f t="shared" si="514"/>
        <v>0.19715692092413098</v>
      </c>
    </row>
    <row r="768" spans="2:13" x14ac:dyDescent="0.25">
      <c r="B768" s="5" t="str">
        <f t="shared" si="503"/>
        <v>SPS3</v>
      </c>
      <c r="C768" s="5" t="str">
        <f t="shared" si="510"/>
        <v>CH</v>
      </c>
      <c r="D768" t="s">
        <v>471</v>
      </c>
      <c r="E768" t="s">
        <v>8</v>
      </c>
      <c r="F768" s="1">
        <f>F773</f>
        <v>2.7300020753577039</v>
      </c>
      <c r="G768" s="1">
        <f t="shared" ref="G768:K768" si="515">G773</f>
        <v>1.0630303759810041E-3</v>
      </c>
      <c r="H768" s="1">
        <f t="shared" si="515"/>
        <v>1.3941479253440729E-3</v>
      </c>
      <c r="I768" s="1">
        <f t="shared" si="515"/>
        <v>2.351222747524737E-3</v>
      </c>
      <c r="J768" s="1">
        <f t="shared" si="515"/>
        <v>3.5387295624966883E-4</v>
      </c>
      <c r="K768" s="1">
        <f t="shared" si="515"/>
        <v>0</v>
      </c>
    </row>
    <row r="769" spans="2:11" x14ac:dyDescent="0.25">
      <c r="B769" s="5" t="str">
        <f t="shared" si="503"/>
        <v>SPS3</v>
      </c>
      <c r="C769" s="5" t="str">
        <f t="shared" si="510"/>
        <v>CH</v>
      </c>
      <c r="D769" t="s">
        <v>941</v>
      </c>
      <c r="E769" t="s">
        <v>8</v>
      </c>
      <c r="F769" s="1">
        <f>SUM(F770,F772)</f>
        <v>11.62780934700659</v>
      </c>
      <c r="G769" s="1">
        <f t="shared" ref="G769:K769" si="516">SUM(G770,G772)</f>
        <v>7.9535568632552538</v>
      </c>
      <c r="H769" s="1">
        <f t="shared" si="516"/>
        <v>7.9340663855075872</v>
      </c>
      <c r="I769" s="1">
        <f t="shared" si="516"/>
        <v>6.2866607823382834</v>
      </c>
      <c r="J769" s="1">
        <f t="shared" si="516"/>
        <v>2.8813111975244845</v>
      </c>
      <c r="K769" s="1">
        <f t="shared" si="516"/>
        <v>1.5954781004923851E-6</v>
      </c>
    </row>
    <row r="770" spans="2:11" x14ac:dyDescent="0.25">
      <c r="B770" s="5" t="str">
        <f t="shared" si="503"/>
        <v>SPS3</v>
      </c>
      <c r="C770" s="5" t="str">
        <f t="shared" si="510"/>
        <v>CH</v>
      </c>
      <c r="D770" t="s">
        <v>525</v>
      </c>
      <c r="E770" t="s">
        <v>8</v>
      </c>
      <c r="F770" s="1">
        <f>[1]Industry!B$34</f>
        <v>8.897807271648885</v>
      </c>
      <c r="G770" s="1">
        <f>[1]Industry!C$34</f>
        <v>7.9524938328792727</v>
      </c>
      <c r="H770" s="1">
        <f>[1]Industry!D$34</f>
        <v>7.9326722375822429</v>
      </c>
      <c r="I770" s="1">
        <f>[1]Industry!E$34</f>
        <v>6.284309559590759</v>
      </c>
      <c r="J770" s="1">
        <f>[1]Industry!F$34</f>
        <v>2.8809573245682349</v>
      </c>
      <c r="K770" s="1">
        <f>[1]Industry!G$34</f>
        <v>1.5954781004923851E-6</v>
      </c>
    </row>
    <row r="771" spans="2:11" x14ac:dyDescent="0.25">
      <c r="B771" s="5" t="str">
        <f t="shared" si="503"/>
        <v>SPS3</v>
      </c>
      <c r="C771" s="5" t="str">
        <f t="shared" si="510"/>
        <v>CH</v>
      </c>
      <c r="D771" t="s">
        <v>526</v>
      </c>
      <c r="E771" t="s">
        <v>8</v>
      </c>
      <c r="F771" s="1">
        <f>F770</f>
        <v>8.897807271648885</v>
      </c>
      <c r="G771" s="1">
        <f t="shared" ref="G771:K771" si="517">G770</f>
        <v>7.9524938328792727</v>
      </c>
      <c r="H771" s="1">
        <f t="shared" si="517"/>
        <v>7.9326722375822429</v>
      </c>
      <c r="I771" s="1">
        <f t="shared" si="517"/>
        <v>6.284309559590759</v>
      </c>
      <c r="J771" s="1">
        <f t="shared" si="517"/>
        <v>2.8809573245682349</v>
      </c>
      <c r="K771" s="1">
        <f t="shared" si="517"/>
        <v>1.5954781004923851E-6</v>
      </c>
    </row>
    <row r="772" spans="2:11" x14ac:dyDescent="0.25">
      <c r="B772" s="5" t="str">
        <f t="shared" si="503"/>
        <v>SPS3</v>
      </c>
      <c r="C772" s="5" t="str">
        <f t="shared" si="510"/>
        <v>CH</v>
      </c>
      <c r="D772" t="s">
        <v>527</v>
      </c>
      <c r="E772" t="s">
        <v>8</v>
      </c>
      <c r="F772" s="1">
        <f>[1]Industry!B$35</f>
        <v>2.7300020753577039</v>
      </c>
      <c r="G772" s="1">
        <f>[1]Industry!C$35</f>
        <v>1.0630303759810041E-3</v>
      </c>
      <c r="H772" s="1">
        <f>[1]Industry!D$35</f>
        <v>1.3941479253440729E-3</v>
      </c>
      <c r="I772" s="1">
        <f>[1]Industry!E$35</f>
        <v>2.351222747524737E-3</v>
      </c>
      <c r="J772" s="1">
        <f>[1]Industry!F$35</f>
        <v>3.5387295624966883E-4</v>
      </c>
      <c r="K772" s="1">
        <f>[1]Industry!G$35</f>
        <v>0</v>
      </c>
    </row>
    <row r="773" spans="2:11" x14ac:dyDescent="0.25">
      <c r="B773" s="5" t="str">
        <f t="shared" si="503"/>
        <v>SPS3</v>
      </c>
      <c r="C773" s="5" t="str">
        <f t="shared" si="510"/>
        <v>CH</v>
      </c>
      <c r="D773" t="s">
        <v>944</v>
      </c>
      <c r="E773" t="s">
        <v>8</v>
      </c>
      <c r="F773" s="1">
        <f>F772</f>
        <v>2.7300020753577039</v>
      </c>
      <c r="G773" s="1">
        <f t="shared" ref="G773:K773" si="518">G772</f>
        <v>1.0630303759810041E-3</v>
      </c>
      <c r="H773" s="1">
        <f t="shared" si="518"/>
        <v>1.3941479253440729E-3</v>
      </c>
      <c r="I773" s="1">
        <f t="shared" si="518"/>
        <v>2.351222747524737E-3</v>
      </c>
      <c r="J773" s="1">
        <f t="shared" si="518"/>
        <v>3.5387295624966883E-4</v>
      </c>
      <c r="K773" s="1">
        <f t="shared" si="518"/>
        <v>0</v>
      </c>
    </row>
    <row r="774" spans="2:11" x14ac:dyDescent="0.25">
      <c r="B774" s="5" t="str">
        <f t="shared" si="503"/>
        <v>SPS3</v>
      </c>
      <c r="C774" s="5" t="str">
        <f t="shared" si="510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2.8359133670113033E-4</v>
      </c>
      <c r="I774" s="1">
        <f>[1]Industry!E$36</f>
        <v>2.5820213678201889E-4</v>
      </c>
      <c r="J774" s="1">
        <f>[1]Industry!F$36</f>
        <v>0.22756166339785747</v>
      </c>
      <c r="K774" s="1">
        <f>[1]Industry!G$36</f>
        <v>0.19715532544603048</v>
      </c>
    </row>
    <row r="775" spans="2:11" x14ac:dyDescent="0.25">
      <c r="B775" s="5" t="str">
        <f t="shared" si="503"/>
        <v>SPS3</v>
      </c>
      <c r="C775" s="5" t="str">
        <f t="shared" si="510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19">G774</f>
        <v>0</v>
      </c>
      <c r="H775" s="1">
        <f t="shared" si="519"/>
        <v>2.8359133670113033E-4</v>
      </c>
      <c r="I775" s="1">
        <f t="shared" si="519"/>
        <v>2.5820213678201889E-4</v>
      </c>
      <c r="J775" s="1">
        <f t="shared" si="519"/>
        <v>0.22756166339785747</v>
      </c>
      <c r="K775" s="1">
        <f t="shared" si="519"/>
        <v>0.19715532544603048</v>
      </c>
    </row>
    <row r="776" spans="2:11" x14ac:dyDescent="0.25">
      <c r="B776" s="5" t="str">
        <f t="shared" si="503"/>
        <v>SPS3</v>
      </c>
      <c r="C776" s="5" t="str">
        <f t="shared" ref="C776:C777" si="520">C775</f>
        <v>CH</v>
      </c>
      <c r="D776" t="s">
        <v>472</v>
      </c>
      <c r="E776" t="s">
        <v>8</v>
      </c>
      <c r="F776" s="1">
        <f>SUM([1]Industry!B$37:B$39)</f>
        <v>35.989092198047267</v>
      </c>
      <c r="G776" s="1">
        <f>SUM([1]Industry!C$37:C$39)</f>
        <v>32.107266765113586</v>
      </c>
      <c r="H776" s="1">
        <f>SUM([1]Industry!D$37:D$39)</f>
        <v>33.034182706889723</v>
      </c>
      <c r="I776" s="1">
        <f>SUM([1]Industry!E$37:E$39)</f>
        <v>14.323159044464539</v>
      </c>
      <c r="J776" s="1">
        <f>SUM([1]Industry!F$37:F$39)</f>
        <v>11.457592100119292</v>
      </c>
      <c r="K776" s="1">
        <f>SUM([1]Industry!G$37:G$39)</f>
        <v>7.6976834626628792</v>
      </c>
    </row>
    <row r="777" spans="2:11" x14ac:dyDescent="0.25">
      <c r="B777" s="5" t="str">
        <f t="shared" si="503"/>
        <v>SPS3</v>
      </c>
      <c r="C777" s="5" t="str">
        <f t="shared" si="520"/>
        <v>CH</v>
      </c>
      <c r="D777" t="s">
        <v>678</v>
      </c>
      <c r="E777" t="s">
        <v>8</v>
      </c>
      <c r="F777" s="1">
        <f>SUM([1]Industry!B$37:B$38)-F778</f>
        <v>35.550172904666752</v>
      </c>
      <c r="G777" s="1">
        <f>SUM([1]Industry!C$37:C$38)-G778</f>
        <v>31.552951593341913</v>
      </c>
      <c r="H777" s="1">
        <f>SUM([1]Industry!D$37:D$38)-H778</f>
        <v>29.747128082517968</v>
      </c>
      <c r="I777" s="1">
        <f>SUM([1]Industry!E$37:E$38)-I778</f>
        <v>11.03610033565745</v>
      </c>
      <c r="J777" s="1">
        <f>SUM([1]Industry!F$37:F$38)-J778</f>
        <v>3.763174012019892</v>
      </c>
      <c r="K777" s="1">
        <f>SUM([1]Industry!G$37:G$38)-K778</f>
        <v>3.2356371410833906E-3</v>
      </c>
    </row>
    <row r="778" spans="2:11" x14ac:dyDescent="0.25">
      <c r="B778" s="5" t="str">
        <f t="shared" si="503"/>
        <v>SPS3</v>
      </c>
      <c r="C778" s="5" t="str">
        <f t="shared" ref="C778" si="521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2.1915658513355415E-3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2.249462096241829E-3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 t="shared" si="503"/>
        <v>SPS3</v>
      </c>
      <c r="C779" s="5" t="str">
        <f>C777</f>
        <v>CH</v>
      </c>
      <c r="D779" t="s">
        <v>473</v>
      </c>
      <c r="E779" t="s">
        <v>8</v>
      </c>
      <c r="F779" s="1">
        <f t="shared" ref="F779:K779" si="522">F776-F777</f>
        <v>0.43891929338051483</v>
      </c>
      <c r="G779" s="1">
        <f t="shared" si="522"/>
        <v>0.55431517177167322</v>
      </c>
      <c r="H779" s="1">
        <f t="shared" si="522"/>
        <v>3.2870546243717556</v>
      </c>
      <c r="I779" s="1">
        <f t="shared" si="522"/>
        <v>3.2870587088070895</v>
      </c>
      <c r="J779" s="1">
        <f t="shared" si="522"/>
        <v>7.6944180880994004</v>
      </c>
      <c r="K779" s="1">
        <f t="shared" si="522"/>
        <v>7.6944478255217961</v>
      </c>
    </row>
    <row r="780" spans="2:11" x14ac:dyDescent="0.25">
      <c r="B780" s="5" t="str">
        <f t="shared" si="503"/>
        <v>SPS3</v>
      </c>
      <c r="C780" s="5" t="str">
        <f t="shared" ref="C780:C788" si="523">C779</f>
        <v>CH</v>
      </c>
      <c r="D780" t="s">
        <v>945</v>
      </c>
      <c r="E780" t="s">
        <v>8</v>
      </c>
      <c r="F780" s="1">
        <f>[1]Industry!B$37</f>
        <v>35.242271024302653</v>
      </c>
      <c r="G780" s="1">
        <f>[1]Industry!C$37</f>
        <v>31.554839773181744</v>
      </c>
      <c r="H780" s="1">
        <f>[1]Industry!D$37</f>
        <v>29.74626631551012</v>
      </c>
      <c r="I780" s="1">
        <f>[1]Industry!E$37</f>
        <v>11.035238569529207</v>
      </c>
      <c r="J780" s="1">
        <f>[1]Industry!F$37</f>
        <v>2.2532951542758135</v>
      </c>
      <c r="K780" s="1">
        <f>[1]Industry!G$37</f>
        <v>2.662795054731939E-3</v>
      </c>
    </row>
    <row r="781" spans="2:11" x14ac:dyDescent="0.25">
      <c r="B781" s="5" t="str">
        <f t="shared" si="503"/>
        <v>SPS3</v>
      </c>
      <c r="C781" s="5" t="str">
        <f t="shared" si="523"/>
        <v>CH</v>
      </c>
      <c r="D781" t="s">
        <v>679</v>
      </c>
      <c r="E781" t="s">
        <v>8</v>
      </c>
      <c r="F781" s="1">
        <f>[1]Industry!B$37*F777/SUM(F777:F778)</f>
        <v>35.240098573641475</v>
      </c>
      <c r="G781" s="1">
        <f>[1]Industry!C$37*G777/SUM(G777:G778)</f>
        <v>31.552590336840076</v>
      </c>
      <c r="H781" s="1">
        <f>[1]Industry!D$37*H777/SUM(H777:H778)</f>
        <v>29.74626631551012</v>
      </c>
      <c r="I781" s="1">
        <f>[1]Industry!E$37*I777/SUM(I777:I778)</f>
        <v>11.035238569529207</v>
      </c>
      <c r="J781" s="1">
        <f>[1]Industry!F$37*J777/SUM(J777:J778)</f>
        <v>2.2532951542758135</v>
      </c>
      <c r="K781" s="1">
        <f>[1]Industry!G$37*K777/SUM(K777:K778)</f>
        <v>2.662795054731939E-3</v>
      </c>
    </row>
    <row r="782" spans="2:11" x14ac:dyDescent="0.25">
      <c r="B782" s="5" t="str">
        <f t="shared" si="503"/>
        <v>SPS3</v>
      </c>
      <c r="C782" s="5" t="str">
        <f t="shared" ref="C782" si="524">C781</f>
        <v>CH</v>
      </c>
      <c r="D782" t="s">
        <v>723</v>
      </c>
      <c r="E782" t="s">
        <v>8</v>
      </c>
      <c r="F782" s="1">
        <f>F780-F781</f>
        <v>2.1724506611775496E-3</v>
      </c>
      <c r="G782" s="1">
        <f t="shared" ref="G782:K782" si="525">G780-G781</f>
        <v>2.2494363416676322E-3</v>
      </c>
      <c r="H782" s="1">
        <f t="shared" si="525"/>
        <v>0</v>
      </c>
      <c r="I782" s="1">
        <f t="shared" si="525"/>
        <v>0</v>
      </c>
      <c r="J782" s="1">
        <f t="shared" si="525"/>
        <v>0</v>
      </c>
      <c r="K782" s="1">
        <f t="shared" si="525"/>
        <v>0</v>
      </c>
    </row>
    <row r="783" spans="2:11" x14ac:dyDescent="0.25">
      <c r="B783" s="5" t="str">
        <f t="shared" si="503"/>
        <v>SPS3</v>
      </c>
      <c r="C783" s="5" t="str">
        <f>C781</f>
        <v>CH</v>
      </c>
      <c r="D783" t="s">
        <v>946</v>
      </c>
      <c r="E783" t="s">
        <v>8</v>
      </c>
      <c r="F783" s="1">
        <f>SUM(F784:F786)</f>
        <v>0.74682117374461421</v>
      </c>
      <c r="G783" s="1">
        <f t="shared" ref="G783:K783" si="526">SUM(G784:G786)</f>
        <v>0.55242699193184674</v>
      </c>
      <c r="H783" s="1">
        <f t="shared" si="526"/>
        <v>3.2879163913796052</v>
      </c>
      <c r="I783" s="1">
        <f t="shared" si="526"/>
        <v>3.2879204749353326</v>
      </c>
      <c r="J783" s="1">
        <f t="shared" si="526"/>
        <v>9.2042969458434793</v>
      </c>
      <c r="K783" s="1">
        <f t="shared" si="526"/>
        <v>7.6950206676081478</v>
      </c>
    </row>
    <row r="784" spans="2:11" x14ac:dyDescent="0.25">
      <c r="B784" s="5" t="str">
        <f t="shared" si="503"/>
        <v>SPS3</v>
      </c>
      <c r="C784" s="5" t="str">
        <f t="shared" si="523"/>
        <v>CH</v>
      </c>
      <c r="D784" t="s">
        <v>680</v>
      </c>
      <c r="E784" t="s">
        <v>8</v>
      </c>
      <c r="F784" s="1">
        <f>[1]Industry!B$38*F777/SUM(F777:F778)</f>
        <v>0.31007433102527249</v>
      </c>
      <c r="G784" s="1">
        <f>[1]Industry!C$38*G777/SUM(G777:G778)</f>
        <v>3.6125650183789623E-4</v>
      </c>
      <c r="H784" s="1">
        <f>[1]Industry!D$38*H777/SUM(H777:H778)</f>
        <v>8.6176700784625527E-4</v>
      </c>
      <c r="I784" s="1">
        <f>[1]Industry!E$38*I777/SUM(I777:I778)</f>
        <v>8.617661282430127E-4</v>
      </c>
      <c r="J784" s="1">
        <f>[1]Industry!F$38*J777/SUM(J777:J778)</f>
        <v>1.5098788577440783</v>
      </c>
      <c r="K784" s="1">
        <f>[1]Industry!G$38*K777/SUM(K777:K778)</f>
        <v>5.7284208635145154E-4</v>
      </c>
    </row>
    <row r="785" spans="2:13" x14ac:dyDescent="0.25">
      <c r="B785" s="5" t="str">
        <f t="shared" si="503"/>
        <v>SPS3</v>
      </c>
      <c r="C785" s="5" t="str">
        <f t="shared" ref="C785" si="527">C784</f>
        <v>CH</v>
      </c>
      <c r="D785" t="s">
        <v>724</v>
      </c>
      <c r="E785" t="s">
        <v>8</v>
      </c>
      <c r="F785" s="1">
        <f>[1]Industry!B$38-F784</f>
        <v>1.9115190158736084E-5</v>
      </c>
      <c r="G785" s="1">
        <f>[1]Industry!C$38-G784</f>
        <v>2.5754573403395306E-8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 t="shared" si="503"/>
        <v>SPS3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0.43672772752918304</v>
      </c>
      <c r="G786" s="1">
        <f>[1]Industry!C$39</f>
        <v>0.55206570967543545</v>
      </c>
      <c r="H786" s="1">
        <f>[1]Industry!D$39</f>
        <v>3.2870546243717591</v>
      </c>
      <c r="I786" s="1">
        <f>[1]Industry!E$39</f>
        <v>3.2870587088070895</v>
      </c>
      <c r="J786" s="1">
        <f>[1]Industry!F$39</f>
        <v>7.6944180880994013</v>
      </c>
      <c r="K786" s="1">
        <f>[1]Industry!G$39</f>
        <v>7.6944478255217961</v>
      </c>
    </row>
    <row r="787" spans="2:13" x14ac:dyDescent="0.25">
      <c r="B787" s="5" t="str">
        <f t="shared" si="503"/>
        <v>SPS3</v>
      </c>
      <c r="C787" s="5" t="str">
        <f t="shared" si="523"/>
        <v>CH</v>
      </c>
      <c r="D787" t="s">
        <v>947</v>
      </c>
      <c r="E787" t="s">
        <v>8</v>
      </c>
      <c r="F787" s="1">
        <f>[1]Industry!B$18</f>
        <v>3.5600042894966295</v>
      </c>
      <c r="G787" s="1">
        <f>[1]Industry!C$18</f>
        <v>3.4647174424554592</v>
      </c>
      <c r="H787" s="1">
        <f>[1]Industry!D$18</f>
        <v>2.0975039171255492E-3</v>
      </c>
      <c r="I787" s="1">
        <f>[1]Industry!E$18</f>
        <v>2.9402337953044606</v>
      </c>
      <c r="J787" s="1">
        <f>[1]Industry!F$18</f>
        <v>2.8655744040051055E-4</v>
      </c>
      <c r="K787" s="1">
        <f>[1]Industry!G$18</f>
        <v>2.1589792879176303E-4</v>
      </c>
    </row>
    <row r="788" spans="2:13" x14ac:dyDescent="0.25">
      <c r="B788" s="5" t="str">
        <f t="shared" si="503"/>
        <v>SPS3</v>
      </c>
      <c r="C788" s="5" t="str">
        <f t="shared" si="523"/>
        <v>CH</v>
      </c>
      <c r="D788" t="s">
        <v>948</v>
      </c>
      <c r="E788" t="s">
        <v>8</v>
      </c>
      <c r="F788" s="1">
        <f>F787</f>
        <v>3.5600042894966295</v>
      </c>
      <c r="G788" s="1">
        <f t="shared" ref="G788:K788" si="528">G787</f>
        <v>3.4647174424554592</v>
      </c>
      <c r="H788" s="1">
        <f t="shared" si="528"/>
        <v>2.0975039171255492E-3</v>
      </c>
      <c r="I788" s="1">
        <f t="shared" si="528"/>
        <v>2.9402337953044606</v>
      </c>
      <c r="J788" s="1">
        <f t="shared" si="528"/>
        <v>2.8655744040051055E-4</v>
      </c>
      <c r="K788" s="1">
        <f t="shared" si="528"/>
        <v>2.1589792879176303E-4</v>
      </c>
    </row>
    <row r="789" spans="2:13" x14ac:dyDescent="0.25">
      <c r="B789" s="5" t="str">
        <f t="shared" si="503"/>
        <v>SPS3</v>
      </c>
      <c r="C789" s="5" t="str">
        <f t="shared" ref="C789:C790" si="529">C788</f>
        <v>CH</v>
      </c>
      <c r="D789" t="s">
        <v>949</v>
      </c>
      <c r="E789" t="s">
        <v>8</v>
      </c>
      <c r="F789" s="1">
        <f>[1]Industry!B$19</f>
        <v>12.728661653830741</v>
      </c>
      <c r="G789" s="1">
        <f>[1]Industry!C$19</f>
        <v>13.638432448391468</v>
      </c>
      <c r="H789" s="1">
        <f>[1]Industry!D$19</f>
        <v>13.407380155874833</v>
      </c>
      <c r="I789" s="1">
        <f>[1]Industry!E$19</f>
        <v>15.156660421316699</v>
      </c>
      <c r="J789" s="1">
        <f>[1]Industry!F$19</f>
        <v>15.756353943992044</v>
      </c>
      <c r="K789" s="1">
        <f>[1]Industry!G$19</f>
        <v>19.749235744461348</v>
      </c>
    </row>
    <row r="790" spans="2:13" x14ac:dyDescent="0.25">
      <c r="B790" s="5" t="str">
        <f t="shared" si="503"/>
        <v>SPS3</v>
      </c>
      <c r="C790" s="5" t="str">
        <f t="shared" si="529"/>
        <v>CH</v>
      </c>
      <c r="D790" t="s">
        <v>950</v>
      </c>
      <c r="E790" t="s">
        <v>8</v>
      </c>
      <c r="F790" s="1">
        <f>SUM(F791:F799)</f>
        <v>4.2964265863562758</v>
      </c>
      <c r="G790" s="1">
        <f t="shared" ref="G790:K790" si="530">SUM(G791:G799)</f>
        <v>5.8300328435210558</v>
      </c>
      <c r="H790" s="1">
        <f t="shared" si="530"/>
        <v>6.009045182318701</v>
      </c>
      <c r="I790" s="1">
        <f t="shared" si="530"/>
        <v>8.2627306575689943</v>
      </c>
      <c r="J790" s="1">
        <f t="shared" si="530"/>
        <v>7.0701249883266852</v>
      </c>
      <c r="K790" s="1">
        <f t="shared" si="530"/>
        <v>13.226207419019564</v>
      </c>
      <c r="M790" s="1"/>
    </row>
    <row r="791" spans="2:13" x14ac:dyDescent="0.25">
      <c r="B791" s="5" t="str">
        <f t="shared" si="503"/>
        <v>SPS3</v>
      </c>
      <c r="C791" s="5" t="str">
        <f t="shared" ref="C791:C808" si="531">C790</f>
        <v>CH</v>
      </c>
      <c r="D791" t="s">
        <v>481</v>
      </c>
      <c r="E791" t="s">
        <v>8</v>
      </c>
      <c r="F791" s="1">
        <f>F233</f>
        <v>0.92935573183827624</v>
      </c>
      <c r="G791" s="1">
        <f t="shared" ref="G791:K791" si="532">G233</f>
        <v>2.0692898139972873</v>
      </c>
      <c r="H791" s="1">
        <f t="shared" si="532"/>
        <v>3.6429513835435606E-2</v>
      </c>
      <c r="I791" s="1">
        <f t="shared" si="532"/>
        <v>1.3159106863708703</v>
      </c>
      <c r="J791" s="1">
        <f t="shared" si="532"/>
        <v>5.1878943139784328E-3</v>
      </c>
      <c r="K791" s="1">
        <f t="shared" si="532"/>
        <v>1.8002662506254305E-2</v>
      </c>
    </row>
    <row r="792" spans="2:13" x14ac:dyDescent="0.25">
      <c r="B792" s="5" t="str">
        <f t="shared" si="503"/>
        <v>SPS3</v>
      </c>
      <c r="C792" s="5" t="str">
        <f t="shared" si="531"/>
        <v>CH</v>
      </c>
      <c r="D792" t="s">
        <v>482</v>
      </c>
      <c r="E792" t="s">
        <v>8</v>
      </c>
      <c r="F792" s="1">
        <f>F239</f>
        <v>0.77234776085170642</v>
      </c>
      <c r="G792" s="1">
        <f t="shared" ref="G792:K792" si="533">G239</f>
        <v>0.1146022201183421</v>
      </c>
      <c r="H792" s="1">
        <f t="shared" si="533"/>
        <v>5.674160876285237E-2</v>
      </c>
      <c r="I792" s="1">
        <f t="shared" si="533"/>
        <v>2.6515624652714027E-2</v>
      </c>
      <c r="J792" s="1">
        <f t="shared" si="533"/>
        <v>6.4098013931178279E-3</v>
      </c>
      <c r="K792" s="1">
        <f t="shared" si="533"/>
        <v>1.3567233941409868E-2</v>
      </c>
    </row>
    <row r="793" spans="2:13" x14ac:dyDescent="0.25">
      <c r="B793" s="5" t="str">
        <f t="shared" si="503"/>
        <v>SPS3</v>
      </c>
      <c r="C793" s="5" t="str">
        <f t="shared" si="531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34">G240</f>
        <v>0</v>
      </c>
      <c r="H793" s="1">
        <f t="shared" si="534"/>
        <v>0</v>
      </c>
      <c r="I793" s="1">
        <f t="shared" si="534"/>
        <v>0</v>
      </c>
      <c r="J793" s="1">
        <f t="shared" si="534"/>
        <v>8.5872667406736343E-4</v>
      </c>
      <c r="K793" s="1">
        <f t="shared" si="534"/>
        <v>7.8663654370101956E-3</v>
      </c>
    </row>
    <row r="794" spans="2:13" x14ac:dyDescent="0.25">
      <c r="B794" s="5" t="str">
        <f t="shared" si="503"/>
        <v>SPS3</v>
      </c>
      <c r="C794" s="5" t="str">
        <f t="shared" si="531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35">G241</f>
        <v>0</v>
      </c>
      <c r="H794" s="1">
        <f t="shared" si="535"/>
        <v>0</v>
      </c>
      <c r="I794" s="1">
        <f t="shared" si="535"/>
        <v>2.3540476951869693E-4</v>
      </c>
      <c r="J794" s="1">
        <f t="shared" si="535"/>
        <v>7.5027976778830295E-4</v>
      </c>
      <c r="K794" s="1">
        <f t="shared" si="535"/>
        <v>1.9630472633439842</v>
      </c>
    </row>
    <row r="795" spans="2:13" x14ac:dyDescent="0.25">
      <c r="B795" s="5" t="str">
        <f t="shared" si="503"/>
        <v>SPS3</v>
      </c>
      <c r="C795" s="5" t="str">
        <f t="shared" si="531"/>
        <v>CH</v>
      </c>
      <c r="D795" t="s">
        <v>485</v>
      </c>
      <c r="E795" t="s">
        <v>8</v>
      </c>
      <c r="F795" s="1">
        <f>F272</f>
        <v>1.9347975180490224</v>
      </c>
      <c r="G795" s="1">
        <f t="shared" ref="G795:K795" si="536">G272</f>
        <v>1.8296083924308704</v>
      </c>
      <c r="H795" s="1">
        <f t="shared" si="536"/>
        <v>2.5502949864161573</v>
      </c>
      <c r="I795" s="1">
        <f t="shared" si="536"/>
        <v>2.3158643077623582</v>
      </c>
      <c r="J795" s="1">
        <f t="shared" si="536"/>
        <v>1.3207484412296755</v>
      </c>
      <c r="K795" s="1">
        <f t="shared" si="536"/>
        <v>4.0634928731630993E-4</v>
      </c>
    </row>
    <row r="796" spans="2:13" x14ac:dyDescent="0.25">
      <c r="B796" s="5" t="str">
        <f t="shared" si="503"/>
        <v>SPS3</v>
      </c>
      <c r="C796" s="5" t="str">
        <f t="shared" si="531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37">G273</f>
        <v>0</v>
      </c>
      <c r="H796" s="1">
        <f t="shared" si="537"/>
        <v>0</v>
      </c>
      <c r="I796" s="1">
        <f t="shared" si="537"/>
        <v>0</v>
      </c>
      <c r="J796" s="1">
        <f t="shared" si="537"/>
        <v>0.30443057440439586</v>
      </c>
      <c r="K796" s="1">
        <f t="shared" si="537"/>
        <v>2.0107457673196536</v>
      </c>
    </row>
    <row r="797" spans="2:13" x14ac:dyDescent="0.25">
      <c r="B797" s="5" t="str">
        <f t="shared" si="503"/>
        <v>SPS3</v>
      </c>
      <c r="C797" s="5" t="str">
        <f t="shared" si="531"/>
        <v>CH</v>
      </c>
      <c r="D797" t="s">
        <v>487</v>
      </c>
      <c r="E797" t="s">
        <v>8</v>
      </c>
      <c r="F797" s="1">
        <f>F281</f>
        <v>0.6599255756172705</v>
      </c>
      <c r="G797" s="1">
        <f t="shared" ref="G797:K797" si="538">G281</f>
        <v>1.8165324169745556</v>
      </c>
      <c r="H797" s="1">
        <f t="shared" si="538"/>
        <v>3.3655790733042559</v>
      </c>
      <c r="I797" s="1">
        <f t="shared" si="538"/>
        <v>3.1669965879166737</v>
      </c>
      <c r="J797" s="1">
        <f t="shared" si="538"/>
        <v>4.0485814561146025</v>
      </c>
      <c r="K797" s="1">
        <f t="shared" si="538"/>
        <v>0.83495251166097173</v>
      </c>
    </row>
    <row r="798" spans="2:13" x14ac:dyDescent="0.25">
      <c r="B798" s="5" t="str">
        <f t="shared" si="503"/>
        <v>SPS3</v>
      </c>
      <c r="C798" s="5" t="str">
        <f t="shared" si="531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39">G282</f>
        <v>0</v>
      </c>
      <c r="H798" s="1">
        <f t="shared" si="539"/>
        <v>0</v>
      </c>
      <c r="I798" s="1">
        <f t="shared" si="539"/>
        <v>0</v>
      </c>
      <c r="J798" s="1">
        <f t="shared" si="539"/>
        <v>1.3265961006526727</v>
      </c>
      <c r="K798" s="1">
        <f t="shared" si="539"/>
        <v>6.4001188067638974</v>
      </c>
    </row>
    <row r="799" spans="2:13" x14ac:dyDescent="0.25">
      <c r="B799" s="5" t="str">
        <f t="shared" si="503"/>
        <v>SPS3</v>
      </c>
      <c r="C799" s="5" t="str">
        <f t="shared" si="531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40">G287</f>
        <v>0</v>
      </c>
      <c r="H799" s="1">
        <f t="shared" si="540"/>
        <v>0</v>
      </c>
      <c r="I799" s="1">
        <f t="shared" si="540"/>
        <v>1.4372080460968601</v>
      </c>
      <c r="J799" s="1">
        <f t="shared" si="540"/>
        <v>5.6561713776386767E-2</v>
      </c>
      <c r="K799" s="1">
        <f t="shared" si="540"/>
        <v>1.9775004587590648</v>
      </c>
      <c r="M799" s="1"/>
    </row>
    <row r="800" spans="2:13" x14ac:dyDescent="0.25">
      <c r="B800" s="5" t="str">
        <f t="shared" si="503"/>
        <v>SPS3</v>
      </c>
      <c r="C800" s="5" t="str">
        <f t="shared" si="531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7.1200114207313234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7.6289076313582243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7.329777532220243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6.8811466718712637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8.6913747142273419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5.713344237862291</v>
      </c>
    </row>
    <row r="801" spans="2:11" x14ac:dyDescent="0.25">
      <c r="B801" s="5" t="str">
        <f t="shared" si="503"/>
        <v>SPS3</v>
      </c>
      <c r="C801" s="5" t="str">
        <f t="shared" si="531"/>
        <v>CH</v>
      </c>
      <c r="D801" t="s">
        <v>952</v>
      </c>
      <c r="E801" t="s">
        <v>8</v>
      </c>
      <c r="F801" s="1">
        <f>F802</f>
        <v>9.0018992997179446</v>
      </c>
      <c r="G801" s="1">
        <f t="shared" ref="G801:K801" si="541">G802</f>
        <v>10.60994302560924</v>
      </c>
      <c r="H801" s="1">
        <f t="shared" si="541"/>
        <v>10.582249137589303</v>
      </c>
      <c r="I801" s="1">
        <f t="shared" si="541"/>
        <v>9.5889407735062484</v>
      </c>
      <c r="J801" s="1">
        <f t="shared" si="541"/>
        <v>16.294503909027135</v>
      </c>
      <c r="K801" s="1">
        <f t="shared" si="541"/>
        <v>7.426525828180103</v>
      </c>
    </row>
    <row r="802" spans="2:11" x14ac:dyDescent="0.25">
      <c r="B802" s="5" t="str">
        <f t="shared" si="503"/>
        <v>SPS3</v>
      </c>
      <c r="C802" s="5" t="str">
        <f t="shared" si="531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9.0018992997179446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10.60994302560924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10.582249137589303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9.5889407735062484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16.294503909027135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7.426525828180103</v>
      </c>
    </row>
    <row r="803" spans="2:11" x14ac:dyDescent="0.25">
      <c r="B803" s="5" t="str">
        <f t="shared" si="503"/>
        <v>SPS3</v>
      </c>
      <c r="C803" s="5" t="str">
        <f t="shared" si="531"/>
        <v>CH</v>
      </c>
      <c r="D803" t="s">
        <v>954</v>
      </c>
      <c r="E803" t="s">
        <v>8</v>
      </c>
      <c r="F803" s="1">
        <f>F804</f>
        <v>0.62578889809381122</v>
      </c>
      <c r="G803" s="1">
        <f t="shared" ref="G803:K803" si="542">G804</f>
        <v>0.73757379721998095</v>
      </c>
      <c r="H803" s="1">
        <f t="shared" si="542"/>
        <v>0.73660131621926284</v>
      </c>
      <c r="I803" s="1">
        <f t="shared" si="542"/>
        <v>0.73479245023289197</v>
      </c>
      <c r="J803" s="1">
        <f t="shared" si="542"/>
        <v>0.78207430788481613</v>
      </c>
      <c r="K803" s="1">
        <f t="shared" si="542"/>
        <v>0.77773603519270351</v>
      </c>
    </row>
    <row r="804" spans="2:11" x14ac:dyDescent="0.25">
      <c r="B804" s="5" t="str">
        <f t="shared" si="503"/>
        <v>SPS3</v>
      </c>
      <c r="C804" s="5" t="str">
        <f t="shared" si="531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0.62578889809381122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0.73757379721998095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0.73660131621926284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0.73479245023289197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0.78207430788481613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0.77773603519270351</v>
      </c>
    </row>
    <row r="805" spans="2:11" x14ac:dyDescent="0.25">
      <c r="B805" s="5" t="str">
        <f t="shared" si="503"/>
        <v>SPS3</v>
      </c>
      <c r="C805" s="5" t="str">
        <f t="shared" si="531"/>
        <v>CH</v>
      </c>
      <c r="D805" t="s">
        <v>492</v>
      </c>
      <c r="E805" t="s">
        <v>8</v>
      </c>
      <c r="F805" s="1">
        <f>[1]Industry!B$21</f>
        <v>7.798042675176549</v>
      </c>
      <c r="G805" s="1">
        <f>[1]Industry!C$21</f>
        <v>8.0801503476608314</v>
      </c>
      <c r="H805" s="1">
        <f>[1]Industry!D$21</f>
        <v>5.6082813272328016</v>
      </c>
      <c r="I805" s="1">
        <f>[1]Industry!E$21</f>
        <v>5.7249344362685441</v>
      </c>
      <c r="J805" s="1">
        <f>[1]Industry!F$21</f>
        <v>5.4553783075583517</v>
      </c>
      <c r="K805" s="1">
        <f>[1]Industry!G$21</f>
        <v>2.0817730726673308E-3</v>
      </c>
    </row>
    <row r="806" spans="2:11" x14ac:dyDescent="0.25">
      <c r="B806" s="5" t="str">
        <f t="shared" si="503"/>
        <v>SPS3</v>
      </c>
      <c r="C806" s="5" t="str">
        <f t="shared" si="531"/>
        <v>CH</v>
      </c>
      <c r="D806" t="s">
        <v>495</v>
      </c>
      <c r="E806" t="s">
        <v>8</v>
      </c>
      <c r="F806" s="1">
        <f>F805</f>
        <v>7.798042675176549</v>
      </c>
      <c r="G806" s="1">
        <f t="shared" ref="G806:K806" si="543">G805</f>
        <v>8.0801503476608314</v>
      </c>
      <c r="H806" s="1">
        <f t="shared" si="543"/>
        <v>5.6082813272328016</v>
      </c>
      <c r="I806" s="1">
        <f t="shared" si="543"/>
        <v>5.7249344362685441</v>
      </c>
      <c r="J806" s="1">
        <f t="shared" si="543"/>
        <v>5.4553783075583517</v>
      </c>
      <c r="K806" s="1">
        <f t="shared" si="543"/>
        <v>2.0817730726673308E-3</v>
      </c>
    </row>
    <row r="807" spans="2:11" x14ac:dyDescent="0.25">
      <c r="B807" s="5" t="str">
        <f t="shared" si="503"/>
        <v>SPS3</v>
      </c>
      <c r="C807" s="5" t="str">
        <f t="shared" si="531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03"/>
        <v>SPS3</v>
      </c>
      <c r="C808" s="5" t="str">
        <f t="shared" si="531"/>
        <v>CH</v>
      </c>
      <c r="D808" t="s">
        <v>494</v>
      </c>
      <c r="E808" t="s">
        <v>8</v>
      </c>
      <c r="F808" s="1">
        <f>F806</f>
        <v>7.798042675176549</v>
      </c>
      <c r="G808" s="1">
        <f t="shared" ref="G808:K808" si="544">G806</f>
        <v>8.0801503476608314</v>
      </c>
      <c r="H808" s="1">
        <f t="shared" si="544"/>
        <v>5.6082813272328016</v>
      </c>
      <c r="I808" s="1">
        <f t="shared" si="544"/>
        <v>5.7249344362685441</v>
      </c>
      <c r="J808" s="1">
        <f t="shared" si="544"/>
        <v>5.4553783075583517</v>
      </c>
      <c r="K808" s="1">
        <f t="shared" si="544"/>
        <v>2.0817730726673308E-3</v>
      </c>
    </row>
    <row r="809" spans="2:11" x14ac:dyDescent="0.25">
      <c r="B809" s="5" t="str">
        <f t="shared" si="503"/>
        <v>SPS3</v>
      </c>
      <c r="C809" s="5" t="str">
        <f t="shared" ref="C809:C810" si="545">C808</f>
        <v>CH</v>
      </c>
      <c r="D809" t="s">
        <v>956</v>
      </c>
      <c r="E809" t="s">
        <v>8</v>
      </c>
      <c r="F809" s="1">
        <f>[1]Industry!B$22</f>
        <v>6.7640643251916405E-2</v>
      </c>
      <c r="G809" s="1">
        <f>[1]Industry!C$22</f>
        <v>8.5494204607906327E-2</v>
      </c>
      <c r="H809" s="1">
        <f>[1]Industry!D$22</f>
        <v>0.49031735934779053</v>
      </c>
      <c r="I809" s="1">
        <f>[1]Industry!E$22</f>
        <v>0.70116803894032886</v>
      </c>
      <c r="J809" s="1">
        <f>[1]Industry!F$22</f>
        <v>0.66197340303715124</v>
      </c>
      <c r="K809" s="1">
        <f>[1]Industry!G$22</f>
        <v>0.43885864913992634</v>
      </c>
    </row>
    <row r="810" spans="2:11" x14ac:dyDescent="0.25">
      <c r="B810" s="5" t="str">
        <f t="shared" si="503"/>
        <v>SPS3</v>
      </c>
      <c r="C810" s="5" t="str">
        <f t="shared" si="545"/>
        <v>CH</v>
      </c>
      <c r="D810" t="s">
        <v>957</v>
      </c>
      <c r="E810" t="s">
        <v>8</v>
      </c>
      <c r="F810" s="1">
        <f>F809</f>
        <v>6.7640643251916405E-2</v>
      </c>
      <c r="G810" s="1">
        <f t="shared" ref="G810:K810" si="546">G809</f>
        <v>8.5494204607906327E-2</v>
      </c>
      <c r="H810" s="1">
        <f t="shared" si="546"/>
        <v>0.49031735934779053</v>
      </c>
      <c r="I810" s="1">
        <f t="shared" si="546"/>
        <v>0.70116803894032886</v>
      </c>
      <c r="J810" s="1">
        <f t="shared" si="546"/>
        <v>0.66197340303715124</v>
      </c>
      <c r="K810" s="1">
        <f t="shared" si="546"/>
        <v>0.43885864913992634</v>
      </c>
    </row>
    <row r="811" spans="2:11" x14ac:dyDescent="0.25">
      <c r="B811" s="5" t="str">
        <f t="shared" si="503"/>
        <v>SPS3</v>
      </c>
      <c r="C811" s="5" t="str">
        <f t="shared" ref="C811:C812" si="547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1.7694241489502608E-2</v>
      </c>
      <c r="I811" s="1">
        <f>[1]Industry!E$23</f>
        <v>12.200341495214962</v>
      </c>
      <c r="J811" s="1">
        <f>[1]Industry!F$23</f>
        <v>11.832030697208431</v>
      </c>
      <c r="K811" s="1">
        <f>[1]Industry!G$23</f>
        <v>11.760304541936076</v>
      </c>
    </row>
    <row r="812" spans="2:11" x14ac:dyDescent="0.25">
      <c r="B812" s="5" t="str">
        <f t="shared" si="503"/>
        <v>SPS3</v>
      </c>
      <c r="C812" s="5" t="str">
        <f t="shared" si="547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48">G811</f>
        <v>0</v>
      </c>
      <c r="H812" s="1">
        <f t="shared" si="548"/>
        <v>1.7694241489502608E-2</v>
      </c>
      <c r="I812" s="1">
        <f t="shared" si="548"/>
        <v>12.200341495214962</v>
      </c>
      <c r="J812" s="1">
        <f t="shared" si="548"/>
        <v>11.832030697208431</v>
      </c>
      <c r="K812" s="1">
        <f t="shared" si="548"/>
        <v>11.760304541936076</v>
      </c>
    </row>
    <row r="813" spans="2:11" x14ac:dyDescent="0.25">
      <c r="B813" s="5" t="str">
        <f t="shared" si="503"/>
        <v>SPS3</v>
      </c>
      <c r="C813" s="5" t="str">
        <f t="shared" ref="C813:C814" si="549">C812</f>
        <v>CH</v>
      </c>
      <c r="D813" t="s">
        <v>960</v>
      </c>
      <c r="E813" t="s">
        <v>8</v>
      </c>
      <c r="F813" s="1">
        <f>[1]Industry!B$24</f>
        <v>0.74848529717172507</v>
      </c>
      <c r="G813" s="1">
        <f>[1]Industry!C$24</f>
        <v>0.94973099888997892</v>
      </c>
      <c r="H813" s="1">
        <f>[1]Industry!D$24</f>
        <v>2.4342123863468172</v>
      </c>
      <c r="I813" s="1">
        <f>[1]Industry!E$24</f>
        <v>3.9735618461185314</v>
      </c>
      <c r="J813" s="1">
        <f>[1]Industry!F$24</f>
        <v>4.0402424388500835</v>
      </c>
      <c r="K813" s="1">
        <f>[1]Industry!G$24</f>
        <v>4.1022546690709669</v>
      </c>
    </row>
    <row r="814" spans="2:11" x14ac:dyDescent="0.25">
      <c r="B814" s="5" t="str">
        <f t="shared" si="503"/>
        <v>SPS3</v>
      </c>
      <c r="C814" s="5" t="str">
        <f t="shared" si="549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0.74848529717172507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0.94973099888997892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2.4323386441520278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3.9715198598993311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4.0380597885509957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4.0998486359419122</v>
      </c>
    </row>
    <row r="815" spans="2:11" x14ac:dyDescent="0.25">
      <c r="B815" s="5" t="str">
        <f t="shared" si="503"/>
        <v>SPS3</v>
      </c>
      <c r="C815" s="5" t="str">
        <f t="shared" ref="C815:C823" si="550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51">G813-G814</f>
        <v>0</v>
      </c>
      <c r="H815" s="1">
        <f t="shared" si="551"/>
        <v>1.8737421947894184E-3</v>
      </c>
      <c r="I815" s="1">
        <f t="shared" si="551"/>
        <v>2.0419862192002647E-3</v>
      </c>
      <c r="J815" s="1">
        <f t="shared" si="551"/>
        <v>2.1826502990878183E-3</v>
      </c>
      <c r="K815" s="1">
        <f t="shared" si="551"/>
        <v>2.406033129054741E-3</v>
      </c>
    </row>
    <row r="816" spans="2:11" x14ac:dyDescent="0.25">
      <c r="B816" s="9" t="str">
        <f t="shared" si="503"/>
        <v>SPS3</v>
      </c>
      <c r="C816" s="9" t="str">
        <f t="shared" si="550"/>
        <v>CH</v>
      </c>
      <c r="D816" s="2" t="s">
        <v>684</v>
      </c>
      <c r="E816" s="9" t="s">
        <v>8</v>
      </c>
      <c r="F816" s="17">
        <f>[1]Industry!B$71</f>
        <v>72.708274622458077</v>
      </c>
      <c r="G816" s="17">
        <f>[1]Industry!C$71</f>
        <v>74.111375655107338</v>
      </c>
      <c r="H816" s="17">
        <f>[1]Industry!D$71</f>
        <v>75.70477212720094</v>
      </c>
      <c r="I816" s="17">
        <f>[1]Industry!E$71</f>
        <v>76.704831921093643</v>
      </c>
      <c r="J816" s="17">
        <f>[1]Industry!F$71</f>
        <v>77.302051319752863</v>
      </c>
      <c r="K816" s="17">
        <f>[1]Industry!G$71</f>
        <v>77.956224022996793</v>
      </c>
    </row>
    <row r="817" spans="2:13" x14ac:dyDescent="0.25">
      <c r="B817" s="5" t="str">
        <f t="shared" si="503"/>
        <v>SPS3</v>
      </c>
      <c r="C817" s="5" t="str">
        <f t="shared" si="550"/>
        <v>CH</v>
      </c>
      <c r="D817" t="s">
        <v>2032</v>
      </c>
      <c r="E817" t="s">
        <v>8</v>
      </c>
      <c r="F817" s="18">
        <f>SUM(F818:F820)</f>
        <v>58.985460688295682</v>
      </c>
      <c r="G817" s="18">
        <f t="shared" ref="G817:K817" si="552">SUM(G818:G820)</f>
        <v>61.647314461806587</v>
      </c>
      <c r="H817" s="18">
        <f t="shared" si="552"/>
        <v>67.678756971119924</v>
      </c>
      <c r="I817" s="18">
        <f t="shared" si="552"/>
        <v>71.328424859893914</v>
      </c>
      <c r="J817" s="18">
        <f t="shared" si="552"/>
        <v>72.63059836549138</v>
      </c>
      <c r="K817" s="18">
        <f t="shared" si="552"/>
        <v>69.373369860172119</v>
      </c>
    </row>
    <row r="818" spans="2:13" x14ac:dyDescent="0.25">
      <c r="B818" s="5" t="str">
        <f t="shared" si="503"/>
        <v>SPS3</v>
      </c>
      <c r="C818" s="5" t="str">
        <f t="shared" si="550"/>
        <v>CH</v>
      </c>
      <c r="D818" t="s">
        <v>2033</v>
      </c>
      <c r="E818" t="s">
        <v>8</v>
      </c>
      <c r="F818" s="1">
        <f>[1]Industry!B$55</f>
        <v>9.8138985341457481</v>
      </c>
      <c r="G818" s="1">
        <f>[1]Industry!C$55</f>
        <v>10.335083785698153</v>
      </c>
      <c r="H818" s="1">
        <f>[1]Industry!D$55</f>
        <v>12.611751859860615</v>
      </c>
      <c r="I818" s="1">
        <f>[1]Industry!E$55</f>
        <v>12.611752616629538</v>
      </c>
      <c r="J818" s="1">
        <f>[1]Industry!F$55</f>
        <v>12.611752178560325</v>
      </c>
      <c r="K818" s="1">
        <f>[1]Industry!G$55</f>
        <v>12.611751272116093</v>
      </c>
      <c r="L818" s="1"/>
      <c r="M818" s="1"/>
    </row>
    <row r="819" spans="2:13" x14ac:dyDescent="0.25">
      <c r="B819" s="5" t="str">
        <f t="shared" si="503"/>
        <v>SPS3</v>
      </c>
      <c r="C819" s="5" t="str">
        <f t="shared" si="550"/>
        <v>CH</v>
      </c>
      <c r="D819" t="s">
        <v>2034</v>
      </c>
      <c r="E819" t="s">
        <v>8</v>
      </c>
      <c r="F819" s="1">
        <f>[1]Industry!B$56</f>
        <v>1.1081645019789372</v>
      </c>
      <c r="G819" s="1">
        <f>[1]Industry!C$56</f>
        <v>1.4007944489975612</v>
      </c>
      <c r="H819" s="1">
        <f>[1]Industry!D$56</f>
        <v>3.5676863017012685</v>
      </c>
      <c r="I819" s="1">
        <f>[1]Industry!E$56</f>
        <v>5.7736706663059048</v>
      </c>
      <c r="J819" s="1">
        <f>[1]Industry!F$56</f>
        <v>5.7737002645297721</v>
      </c>
      <c r="K819" s="1">
        <f>[1]Industry!G$56</f>
        <v>5.7737074262451555</v>
      </c>
    </row>
    <row r="820" spans="2:13" x14ac:dyDescent="0.25">
      <c r="B820" s="5" t="str">
        <f t="shared" ref="B820:B883" si="553">B819</f>
        <v>SPS3</v>
      </c>
      <c r="C820" s="5" t="str">
        <f t="shared" si="550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49.911436227110876</v>
      </c>
      <c r="H820" s="1">
        <f>[1]Industry!D$3-([1]Industry!D$6-[1]Industry!D$70)</f>
        <v>51.499318809558041</v>
      </c>
      <c r="I820" s="1">
        <f>[1]Industry!E$3-([1]Industry!E$6-[1]Industry!E$70)</f>
        <v>52.94300157695848</v>
      </c>
      <c r="J820" s="1">
        <f>[1]Industry!F$3-([1]Industry!F$6-[1]Industry!F$70)</f>
        <v>54.245145922401292</v>
      </c>
      <c r="K820" s="1">
        <f>[1]Industry!G$3-([1]Industry!G$6-[1]Industry!G$70)</f>
        <v>50.987911161810871</v>
      </c>
    </row>
    <row r="821" spans="2:13" x14ac:dyDescent="0.25">
      <c r="B821" s="5" t="str">
        <f t="shared" si="553"/>
        <v>SPS3</v>
      </c>
      <c r="C821" s="5" t="str">
        <f t="shared" si="550"/>
        <v>CH</v>
      </c>
      <c r="D821" t="s">
        <v>2036</v>
      </c>
      <c r="E821" t="s">
        <v>8</v>
      </c>
      <c r="F821" s="1">
        <f>SUM(F822:F823)</f>
        <v>8.763530866910294</v>
      </c>
      <c r="G821" s="1">
        <f t="shared" ref="G821:K821" si="554">SUM(G822:G823)</f>
        <v>6.1934869389435079</v>
      </c>
      <c r="H821" s="1">
        <f t="shared" si="554"/>
        <v>6.1934698222461142</v>
      </c>
      <c r="I821" s="1">
        <f t="shared" si="554"/>
        <v>4.9271597419031208</v>
      </c>
      <c r="J821" s="1">
        <f t="shared" si="554"/>
        <v>2.4561029170780717</v>
      </c>
      <c r="K821" s="1">
        <f t="shared" si="554"/>
        <v>0.15700166195947507</v>
      </c>
    </row>
    <row r="822" spans="2:13" x14ac:dyDescent="0.25">
      <c r="B822" s="5" t="str">
        <f t="shared" si="553"/>
        <v>SPS3</v>
      </c>
      <c r="C822" s="5" t="str">
        <f t="shared" si="550"/>
        <v>CH</v>
      </c>
      <c r="D822" t="s">
        <v>2037</v>
      </c>
      <c r="E822" t="s">
        <v>8</v>
      </c>
      <c r="F822" s="1">
        <f>[1]Industry!B$57</f>
        <v>6.9177082137090657</v>
      </c>
      <c r="G822" s="1">
        <f>[1]Industry!C$57</f>
        <v>6.1927650881666976</v>
      </c>
      <c r="H822" s="1">
        <f>[1]Industry!D$57</f>
        <v>6.192517009273387</v>
      </c>
      <c r="I822" s="1">
        <f>[1]Industry!E$57</f>
        <v>4.9255356347902683</v>
      </c>
      <c r="J822" s="1">
        <f>[1]Industry!F$57</f>
        <v>2.4558533039415571</v>
      </c>
      <c r="K822" s="1">
        <f>[1]Industry!G$57</f>
        <v>0.15700166195947507</v>
      </c>
    </row>
    <row r="823" spans="2:13" x14ac:dyDescent="0.25">
      <c r="B823" s="5" t="str">
        <f t="shared" si="553"/>
        <v>SPS3</v>
      </c>
      <c r="C823" s="5" t="str">
        <f t="shared" si="550"/>
        <v>CH</v>
      </c>
      <c r="D823" t="s">
        <v>2038</v>
      </c>
      <c r="E823" t="s">
        <v>8</v>
      </c>
      <c r="F823" s="1">
        <f>[1]Industry!B$58</f>
        <v>1.8458226532012285</v>
      </c>
      <c r="G823" s="1">
        <f>[1]Industry!C$58</f>
        <v>7.2185077680990135E-4</v>
      </c>
      <c r="H823" s="1">
        <f>[1]Industry!D$58</f>
        <v>9.5281297272733925E-4</v>
      </c>
      <c r="I823" s="1">
        <f>[1]Industry!E$58</f>
        <v>1.624107112852714E-3</v>
      </c>
      <c r="J823" s="1">
        <f>[1]Industry!F$58</f>
        <v>2.4961313651460988E-4</v>
      </c>
      <c r="K823" s="1">
        <f>[1]Industry!G$58</f>
        <v>0</v>
      </c>
    </row>
    <row r="824" spans="2:13" x14ac:dyDescent="0.25">
      <c r="B824" s="5" t="str">
        <f t="shared" si="553"/>
        <v>SPS3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28.930285241333227</v>
      </c>
      <c r="G824" s="1">
        <f t="shared" ref="G824:K824" si="555">SUM(G825:G827)</f>
        <v>25.816795228050413</v>
      </c>
      <c r="H824" s="1">
        <f t="shared" si="555"/>
        <v>26.352592131301353</v>
      </c>
      <c r="I824" s="1">
        <f t="shared" si="555"/>
        <v>11.53510378317816</v>
      </c>
      <c r="J824" s="1">
        <f t="shared" si="555"/>
        <v>8.5458470518432375</v>
      </c>
      <c r="K824" s="1">
        <f t="shared" si="555"/>
        <v>5.545467275038841</v>
      </c>
    </row>
    <row r="825" spans="2:13" x14ac:dyDescent="0.25">
      <c r="B825" s="5" t="str">
        <f t="shared" si="553"/>
        <v>SPS3</v>
      </c>
      <c r="C825" s="5" t="str">
        <f t="shared" ref="C825:C854" si="556">C824</f>
        <v>CH</v>
      </c>
      <c r="D825" t="s">
        <v>2040</v>
      </c>
      <c r="E825" t="s">
        <v>8</v>
      </c>
      <c r="F825" s="1">
        <f>[1]Industry!B$59</f>
        <v>28.619771827059978</v>
      </c>
      <c r="G825" s="1">
        <f>[1]Industry!C$59</f>
        <v>25.424276508471177</v>
      </c>
      <c r="H825" s="1">
        <f>[1]Industry!D$59</f>
        <v>24.011506342351097</v>
      </c>
      <c r="I825" s="1">
        <f>[1]Industry!E$59</f>
        <v>9.1937489437587736</v>
      </c>
      <c r="J825" s="1">
        <f>[1]Industry!F$59</f>
        <v>3.0707415750541474</v>
      </c>
      <c r="K825" s="1">
        <f>[1]Industry!G$59</f>
        <v>8.0934543785109636E-4</v>
      </c>
    </row>
    <row r="826" spans="2:13" x14ac:dyDescent="0.25">
      <c r="B826" s="5" t="str">
        <f t="shared" si="553"/>
        <v>SPS3</v>
      </c>
      <c r="C826" s="5" t="str">
        <f t="shared" si="55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3.9899510219371529E-3</v>
      </c>
      <c r="I826" s="1">
        <f>[1]Industry!E$60</f>
        <v>4.2560974575443647E-3</v>
      </c>
      <c r="J826" s="1">
        <f>[1]Industry!F$60</f>
        <v>4.3742161504230076E-3</v>
      </c>
      <c r="K826" s="1">
        <f>[1]Industry!G$60</f>
        <v>4.6554952252963414E-3</v>
      </c>
    </row>
    <row r="827" spans="2:13" x14ac:dyDescent="0.25">
      <c r="B827" s="5" t="str">
        <f t="shared" si="553"/>
        <v>SPS3</v>
      </c>
      <c r="C827" s="5" t="str">
        <f t="shared" si="556"/>
        <v>CH</v>
      </c>
      <c r="D827" t="s">
        <v>2042</v>
      </c>
      <c r="E827" t="s">
        <v>8</v>
      </c>
      <c r="F827" s="1">
        <f>[1]Industry!B$68</f>
        <v>0.31051341427324913</v>
      </c>
      <c r="G827" s="1">
        <f>[1]Industry!C$68</f>
        <v>0.39251871957923484</v>
      </c>
      <c r="H827" s="1">
        <f>[1]Industry!D$68</f>
        <v>2.3370958379283207</v>
      </c>
      <c r="I827" s="1">
        <f>[1]Industry!E$68</f>
        <v>2.3370987419618419</v>
      </c>
      <c r="J827" s="1">
        <f>[1]Industry!F$68</f>
        <v>5.4707312606386669</v>
      </c>
      <c r="K827" s="1">
        <f>[1]Industry!G$68</f>
        <v>5.540002434375694</v>
      </c>
    </row>
    <row r="828" spans="2:13" x14ac:dyDescent="0.25">
      <c r="B828" s="5" t="str">
        <f t="shared" si="553"/>
        <v>SPS3</v>
      </c>
      <c r="C828" s="5" t="str">
        <f t="shared" si="556"/>
        <v>CH</v>
      </c>
      <c r="D828" t="s">
        <v>2043</v>
      </c>
      <c r="E828" t="s">
        <v>8</v>
      </c>
      <c r="F828" s="1">
        <f>F829</f>
        <v>2.3674028525152573</v>
      </c>
      <c r="G828" s="1">
        <f t="shared" ref="G828:K828" si="557">G829</f>
        <v>2.3075018166753347</v>
      </c>
      <c r="H828" s="1">
        <f t="shared" si="557"/>
        <v>1.4000838646813047E-3</v>
      </c>
      <c r="I828" s="1">
        <f t="shared" si="557"/>
        <v>1.9699566428539876</v>
      </c>
      <c r="J828" s="1">
        <f t="shared" si="557"/>
        <v>1.9342627227034482E-4</v>
      </c>
      <c r="K828" s="1">
        <f t="shared" si="557"/>
        <v>1.4681059157839883E-4</v>
      </c>
    </row>
    <row r="829" spans="2:13" x14ac:dyDescent="0.25">
      <c r="B829" s="5" t="str">
        <f t="shared" si="553"/>
        <v>SPS3</v>
      </c>
      <c r="C829" s="5" t="str">
        <f t="shared" si="556"/>
        <v>CH</v>
      </c>
      <c r="D829" t="s">
        <v>2044</v>
      </c>
      <c r="E829" t="s">
        <v>8</v>
      </c>
      <c r="F829" s="1">
        <f>[1]Industry!B$61</f>
        <v>2.3674028525152573</v>
      </c>
      <c r="G829" s="1">
        <f>[1]Industry!C$61</f>
        <v>2.3075018166753347</v>
      </c>
      <c r="H829" s="1">
        <f>[1]Industry!D$61</f>
        <v>1.4000838646813047E-3</v>
      </c>
      <c r="I829" s="1">
        <f>[1]Industry!E$61</f>
        <v>1.9699566428539876</v>
      </c>
      <c r="J829" s="1">
        <f>[1]Industry!F$61</f>
        <v>1.9342627227034482E-4</v>
      </c>
      <c r="K829" s="1">
        <f>[1]Industry!G$61</f>
        <v>1.4681059157839883E-4</v>
      </c>
    </row>
    <row r="830" spans="2:13" x14ac:dyDescent="0.25">
      <c r="B830" s="5" t="str">
        <f t="shared" si="553"/>
        <v>SPS3</v>
      </c>
      <c r="C830" s="5" t="str">
        <f t="shared" si="556"/>
        <v>CH</v>
      </c>
      <c r="D830" t="s">
        <v>2045</v>
      </c>
      <c r="E830" t="s">
        <v>8</v>
      </c>
      <c r="F830" s="1">
        <f>F831+F841</f>
        <v>11.767345550651704</v>
      </c>
      <c r="G830" s="1">
        <f t="shared" ref="G830:K830" si="558">G831+G841</f>
        <v>12.635412538545808</v>
      </c>
      <c r="H830" s="1">
        <f t="shared" si="558"/>
        <v>12.461174637313508</v>
      </c>
      <c r="I830" s="1">
        <f t="shared" si="558"/>
        <v>14.162031426316712</v>
      </c>
      <c r="J830" s="1">
        <f t="shared" si="558"/>
        <v>14.880254704846969</v>
      </c>
      <c r="K830" s="1">
        <f t="shared" si="558"/>
        <v>17.956499972033527</v>
      </c>
    </row>
    <row r="831" spans="2:13" x14ac:dyDescent="0.25">
      <c r="B831" s="5" t="str">
        <f t="shared" si="553"/>
        <v>SPS3</v>
      </c>
      <c r="C831" s="5" t="str">
        <f t="shared" si="556"/>
        <v>CH</v>
      </c>
      <c r="D831" t="s">
        <v>2046</v>
      </c>
      <c r="E831" t="s">
        <v>8</v>
      </c>
      <c r="F831" s="1">
        <f>[1]Industry!B$62</f>
        <v>5.1850640044125473</v>
      </c>
      <c r="G831" s="1">
        <f>[1]Industry!C$62</f>
        <v>5.5675625121272372</v>
      </c>
      <c r="H831" s="1">
        <f>[1]Industry!D$62</f>
        <v>5.6486850368279837</v>
      </c>
      <c r="I831" s="1">
        <f>[1]Industry!E$62</f>
        <v>7.7324478170489348</v>
      </c>
      <c r="J831" s="1">
        <f>[1]Industry!F$62</f>
        <v>6.6731870303141108</v>
      </c>
      <c r="K831" s="1">
        <f>[1]Industry!G$62</f>
        <v>12.52882294606435</v>
      </c>
      <c r="M831" s="1"/>
    </row>
    <row r="832" spans="2:13" x14ac:dyDescent="0.25">
      <c r="B832" s="5" t="str">
        <f t="shared" si="553"/>
        <v>SPS3</v>
      </c>
      <c r="C832" s="5" t="str">
        <f t="shared" si="556"/>
        <v>CH</v>
      </c>
      <c r="D832" t="s">
        <v>2047</v>
      </c>
      <c r="E832" t="s">
        <v>8</v>
      </c>
      <c r="F832" s="1">
        <f>IFERROR(F791/F$790,0)*F$831</f>
        <v>1.1215760017293439</v>
      </c>
      <c r="G832" s="1">
        <f t="shared" ref="G832:K832" si="559">IFERROR(G791/G$790,0)*G$831</f>
        <v>1.9761295869784463</v>
      </c>
      <c r="H832" s="1">
        <f t="shared" si="559"/>
        <v>3.4244849798539798E-2</v>
      </c>
      <c r="I832" s="1">
        <f t="shared" si="559"/>
        <v>1.2314585983677075</v>
      </c>
      <c r="J832" s="1">
        <f t="shared" si="559"/>
        <v>4.8966304142912757E-3</v>
      </c>
      <c r="K832" s="1">
        <f t="shared" si="559"/>
        <v>1.7053427634460237E-2</v>
      </c>
    </row>
    <row r="833" spans="2:13" x14ac:dyDescent="0.25">
      <c r="B833" s="5" t="str">
        <f t="shared" si="553"/>
        <v>SPS3</v>
      </c>
      <c r="C833" s="5" t="str">
        <f t="shared" si="556"/>
        <v>CH</v>
      </c>
      <c r="D833" t="s">
        <v>2048</v>
      </c>
      <c r="E833" t="s">
        <v>8</v>
      </c>
      <c r="F833" s="1">
        <f t="shared" ref="F833:K840" si="560">IFERROR(F792/F$790,0)*F$831</f>
        <v>0.93209379776161982</v>
      </c>
      <c r="G833" s="1">
        <f t="shared" si="560"/>
        <v>0.10944278388525874</v>
      </c>
      <c r="H833" s="1">
        <f t="shared" si="560"/>
        <v>5.333883614777464E-2</v>
      </c>
      <c r="I833" s="1">
        <f t="shared" si="560"/>
        <v>2.4813913518499011E-2</v>
      </c>
      <c r="J833" s="1">
        <f t="shared" si="560"/>
        <v>6.0499359762473809E-3</v>
      </c>
      <c r="K833" s="1">
        <f t="shared" si="560"/>
        <v>1.285186800226058E-2</v>
      </c>
    </row>
    <row r="834" spans="2:13" x14ac:dyDescent="0.25">
      <c r="B834" s="5" t="str">
        <f t="shared" si="553"/>
        <v>SPS3</v>
      </c>
      <c r="C834" s="5" t="str">
        <f t="shared" si="556"/>
        <v>CH</v>
      </c>
      <c r="D834" t="s">
        <v>2049</v>
      </c>
      <c r="E834" t="s">
        <v>8</v>
      </c>
      <c r="F834" s="1">
        <f t="shared" si="560"/>
        <v>0</v>
      </c>
      <c r="G834" s="1">
        <f t="shared" si="560"/>
        <v>0</v>
      </c>
      <c r="H834" s="1">
        <f t="shared" si="560"/>
        <v>0</v>
      </c>
      <c r="I834" s="1">
        <f t="shared" si="560"/>
        <v>0</v>
      </c>
      <c r="J834" s="1">
        <f t="shared" si="560"/>
        <v>8.1051519081098305E-4</v>
      </c>
      <c r="K834" s="1">
        <f t="shared" si="560"/>
        <v>7.4515918786828362E-3</v>
      </c>
    </row>
    <row r="835" spans="2:13" x14ac:dyDescent="0.25">
      <c r="B835" s="5" t="str">
        <f t="shared" si="553"/>
        <v>SPS3</v>
      </c>
      <c r="C835" s="5" t="str">
        <f t="shared" si="556"/>
        <v>CH</v>
      </c>
      <c r="D835" t="s">
        <v>2050</v>
      </c>
      <c r="E835" t="s">
        <v>8</v>
      </c>
      <c r="F835" s="1">
        <f t="shared" si="560"/>
        <v>0</v>
      </c>
      <c r="G835" s="1">
        <f t="shared" si="560"/>
        <v>0</v>
      </c>
      <c r="H835" s="1">
        <f t="shared" si="560"/>
        <v>0</v>
      </c>
      <c r="I835" s="1">
        <f t="shared" si="560"/>
        <v>2.2029703879072093E-4</v>
      </c>
      <c r="J835" s="1">
        <f t="shared" si="560"/>
        <v>7.0815681812959796E-4</v>
      </c>
      <c r="K835" s="1">
        <f t="shared" si="560"/>
        <v>1.8595407449776784</v>
      </c>
    </row>
    <row r="836" spans="2:13" x14ac:dyDescent="0.25">
      <c r="B836" s="5" t="str">
        <f t="shared" si="553"/>
        <v>SPS3</v>
      </c>
      <c r="C836" s="5" t="str">
        <f t="shared" si="556"/>
        <v>CH</v>
      </c>
      <c r="D836" t="s">
        <v>2051</v>
      </c>
      <c r="E836" t="s">
        <v>8</v>
      </c>
      <c r="F836" s="1">
        <f t="shared" si="560"/>
        <v>2.3349750694031357</v>
      </c>
      <c r="G836" s="1">
        <f t="shared" si="560"/>
        <v>1.7472387156260629</v>
      </c>
      <c r="H836" s="1">
        <f t="shared" si="560"/>
        <v>2.3973547697152817</v>
      </c>
      <c r="I836" s="1">
        <f t="shared" si="560"/>
        <v>2.1672375215008106</v>
      </c>
      <c r="J836" s="1">
        <f t="shared" si="560"/>
        <v>1.2465976744220755</v>
      </c>
      <c r="K836" s="1">
        <f t="shared" si="560"/>
        <v>3.8492351690511085E-4</v>
      </c>
    </row>
    <row r="837" spans="2:13" x14ac:dyDescent="0.25">
      <c r="B837" s="5" t="str">
        <f t="shared" si="553"/>
        <v>SPS3</v>
      </c>
      <c r="C837" s="5" t="str">
        <f t="shared" si="556"/>
        <v>CH</v>
      </c>
      <c r="D837" t="s">
        <v>2052</v>
      </c>
      <c r="E837" t="s">
        <v>8</v>
      </c>
      <c r="F837" s="1">
        <f t="shared" si="560"/>
        <v>0</v>
      </c>
      <c r="G837" s="1">
        <f t="shared" si="560"/>
        <v>0</v>
      </c>
      <c r="H837" s="1">
        <f t="shared" si="560"/>
        <v>0</v>
      </c>
      <c r="I837" s="1">
        <f t="shared" si="560"/>
        <v>0</v>
      </c>
      <c r="J837" s="1">
        <f t="shared" si="560"/>
        <v>0.28733893164557728</v>
      </c>
      <c r="K837" s="1">
        <f t="shared" si="560"/>
        <v>1.9047242274508127</v>
      </c>
    </row>
    <row r="838" spans="2:13" x14ac:dyDescent="0.25">
      <c r="B838" s="5" t="str">
        <f t="shared" si="553"/>
        <v>SPS3</v>
      </c>
      <c r="C838" s="5" t="str">
        <f t="shared" si="556"/>
        <v>CH</v>
      </c>
      <c r="D838" t="s">
        <v>2053</v>
      </c>
      <c r="E838" t="s">
        <v>8</v>
      </c>
      <c r="F838" s="1">
        <f t="shared" si="560"/>
        <v>0.79641913551844756</v>
      </c>
      <c r="G838" s="1">
        <f t="shared" si="560"/>
        <v>1.734751425637469</v>
      </c>
      <c r="H838" s="1">
        <f t="shared" si="560"/>
        <v>3.1637465811663876</v>
      </c>
      <c r="I838" s="1">
        <f t="shared" si="560"/>
        <v>2.9637461110274885</v>
      </c>
      <c r="J838" s="1">
        <f t="shared" si="560"/>
        <v>3.8212819870541481</v>
      </c>
      <c r="K838" s="1">
        <f t="shared" si="560"/>
        <v>0.79092757701115035</v>
      </c>
    </row>
    <row r="839" spans="2:13" x14ac:dyDescent="0.25">
      <c r="B839" s="5" t="str">
        <f t="shared" si="553"/>
        <v>SPS3</v>
      </c>
      <c r="C839" s="5" t="str">
        <f t="shared" si="556"/>
        <v>CH</v>
      </c>
      <c r="D839" t="s">
        <v>2054</v>
      </c>
      <c r="E839" t="s">
        <v>8</v>
      </c>
      <c r="F839" s="1">
        <f t="shared" si="560"/>
        <v>0</v>
      </c>
      <c r="G839" s="1">
        <f t="shared" si="560"/>
        <v>0</v>
      </c>
      <c r="H839" s="1">
        <f t="shared" si="560"/>
        <v>0</v>
      </c>
      <c r="I839" s="1">
        <f t="shared" si="560"/>
        <v>0</v>
      </c>
      <c r="J839" s="1">
        <f t="shared" si="560"/>
        <v>1.2521170287593282</v>
      </c>
      <c r="K839" s="1">
        <f t="shared" si="560"/>
        <v>6.0626567256470221</v>
      </c>
    </row>
    <row r="840" spans="2:13" x14ac:dyDescent="0.25">
      <c r="B840" s="5" t="str">
        <f t="shared" si="553"/>
        <v>SPS3</v>
      </c>
      <c r="C840" s="5" t="str">
        <f t="shared" si="556"/>
        <v>CH</v>
      </c>
      <c r="D840" t="s">
        <v>2055</v>
      </c>
      <c r="E840" t="s">
        <v>8</v>
      </c>
      <c r="F840" s="1">
        <f t="shared" si="560"/>
        <v>0</v>
      </c>
      <c r="G840" s="1">
        <f t="shared" si="560"/>
        <v>0</v>
      </c>
      <c r="H840" s="1">
        <f t="shared" si="560"/>
        <v>0</v>
      </c>
      <c r="I840" s="1">
        <f t="shared" si="560"/>
        <v>1.3449713755956394</v>
      </c>
      <c r="J840" s="1">
        <f t="shared" si="560"/>
        <v>5.3386170033502475E-2</v>
      </c>
      <c r="K840" s="1">
        <f t="shared" si="560"/>
        <v>1.8732318599453759</v>
      </c>
      <c r="M840" s="1"/>
    </row>
    <row r="841" spans="2:13" x14ac:dyDescent="0.25">
      <c r="B841" s="5" t="str">
        <f t="shared" si="553"/>
        <v>SPS3</v>
      </c>
      <c r="C841" s="5" t="str">
        <f t="shared" si="556"/>
        <v>CH</v>
      </c>
      <c r="D841" t="s">
        <v>2056</v>
      </c>
      <c r="E841" t="s">
        <v>8</v>
      </c>
      <c r="F841" s="1">
        <f>[1]Industry!B$63</f>
        <v>6.582281546239158</v>
      </c>
      <c r="G841" s="1">
        <f>[1]Industry!C$63</f>
        <v>7.0678500264185695</v>
      </c>
      <c r="H841" s="1">
        <f>[1]Industry!D$63</f>
        <v>6.8124896004855255</v>
      </c>
      <c r="I841" s="1">
        <f>[1]Industry!E$63</f>
        <v>6.4295836092677785</v>
      </c>
      <c r="J841" s="1">
        <f>[1]Industry!F$63</f>
        <v>8.2070676745328583</v>
      </c>
      <c r="K841" s="1">
        <f>[1]Industry!G$63</f>
        <v>5.427677025969178</v>
      </c>
    </row>
    <row r="842" spans="2:13" x14ac:dyDescent="0.25">
      <c r="B842" s="5" t="str">
        <f t="shared" si="553"/>
        <v>SPS3</v>
      </c>
      <c r="C842" s="5" t="str">
        <f t="shared" si="556"/>
        <v>CH</v>
      </c>
      <c r="D842" t="s">
        <v>2057</v>
      </c>
      <c r="E842" t="s">
        <v>8</v>
      </c>
      <c r="F842" s="1">
        <f>F843</f>
        <v>5.3111205868335913</v>
      </c>
      <c r="G842" s="1">
        <f t="shared" ref="G842:K842" si="561">G843</f>
        <v>6.2669396804598643</v>
      </c>
      <c r="H842" s="1">
        <f t="shared" si="561"/>
        <v>6.2611640730736644</v>
      </c>
      <c r="I842" s="1">
        <f t="shared" si="561"/>
        <v>5.6894381922803694</v>
      </c>
      <c r="J842" s="1">
        <f t="shared" si="561"/>
        <v>9.7223873323861909</v>
      </c>
      <c r="K842" s="1">
        <f t="shared" si="561"/>
        <v>4.4559154969080605</v>
      </c>
    </row>
    <row r="843" spans="2:13" x14ac:dyDescent="0.25">
      <c r="B843" s="5" t="str">
        <f t="shared" si="553"/>
        <v>SPS3</v>
      </c>
      <c r="C843" s="5" t="str">
        <f t="shared" si="556"/>
        <v>CH</v>
      </c>
      <c r="D843" t="s">
        <v>2058</v>
      </c>
      <c r="E843" t="s">
        <v>8</v>
      </c>
      <c r="F843" s="1">
        <f>[1]Industry!B$64</f>
        <v>5.3111205868335913</v>
      </c>
      <c r="G843" s="1">
        <f>[1]Industry!C$64</f>
        <v>6.2669396804598643</v>
      </c>
      <c r="H843" s="1">
        <f>[1]Industry!D$64</f>
        <v>6.2611640730736644</v>
      </c>
      <c r="I843" s="1">
        <f>[1]Industry!E$64</f>
        <v>5.6894381922803694</v>
      </c>
      <c r="J843" s="1">
        <f>[1]Industry!F$64</f>
        <v>9.7223873323861909</v>
      </c>
      <c r="K843" s="1">
        <f>[1]Industry!G$64</f>
        <v>4.4559154969080605</v>
      </c>
    </row>
    <row r="844" spans="2:13" x14ac:dyDescent="0.25">
      <c r="B844" s="5" t="str">
        <f t="shared" si="553"/>
        <v>SPS3</v>
      </c>
      <c r="C844" s="5" t="str">
        <f t="shared" si="556"/>
        <v>CH</v>
      </c>
      <c r="D844" t="s">
        <v>2059</v>
      </c>
      <c r="E844" t="s">
        <v>8</v>
      </c>
      <c r="F844" s="1">
        <f>F845</f>
        <v>0.46151931234418603</v>
      </c>
      <c r="G844" s="1">
        <f t="shared" ref="G844:K844" si="562">G845</f>
        <v>0.54457532028075273</v>
      </c>
      <c r="H844" s="1">
        <f t="shared" si="562"/>
        <v>0.54477805678716262</v>
      </c>
      <c r="I844" s="1">
        <f t="shared" si="562"/>
        <v>0.5449710672560617</v>
      </c>
      <c r="J844" s="1">
        <f t="shared" si="562"/>
        <v>0.58329708796409174</v>
      </c>
      <c r="K844" s="1">
        <f t="shared" si="562"/>
        <v>0.58330202639452822</v>
      </c>
    </row>
    <row r="845" spans="2:13" x14ac:dyDescent="0.25">
      <c r="B845" s="5" t="str">
        <f t="shared" si="553"/>
        <v>SPS3</v>
      </c>
      <c r="C845" s="5" t="str">
        <f t="shared" si="556"/>
        <v>CH</v>
      </c>
      <c r="D845" t="s">
        <v>2060</v>
      </c>
      <c r="E845" t="s">
        <v>8</v>
      </c>
      <c r="F845" s="1">
        <f>[1]Industry!B$65</f>
        <v>0.46151931234418603</v>
      </c>
      <c r="G845" s="1">
        <f>[1]Industry!C$65</f>
        <v>0.54457532028075273</v>
      </c>
      <c r="H845" s="1">
        <f>[1]Industry!D$65</f>
        <v>0.54477805678716262</v>
      </c>
      <c r="I845" s="1">
        <f>[1]Industry!E$65</f>
        <v>0.5449710672560617</v>
      </c>
      <c r="J845" s="1">
        <f>[1]Industry!F$65</f>
        <v>0.58329708796409174</v>
      </c>
      <c r="K845" s="1">
        <f>[1]Industry!G$65</f>
        <v>0.58330202639452822</v>
      </c>
    </row>
    <row r="846" spans="2:13" x14ac:dyDescent="0.25">
      <c r="B846" s="5" t="str">
        <f t="shared" si="553"/>
        <v>SPS3</v>
      </c>
      <c r="C846" s="5" t="str">
        <f t="shared" si="556"/>
        <v>CH</v>
      </c>
      <c r="D846" t="s">
        <v>2061</v>
      </c>
      <c r="E846" t="s">
        <v>8</v>
      </c>
      <c r="F846" s="1">
        <f>F847</f>
        <v>4.1173665324932189</v>
      </c>
      <c r="G846" s="1">
        <f t="shared" ref="G846:K846" si="563">G847</f>
        <v>4.2663193835649187</v>
      </c>
      <c r="H846" s="1">
        <f t="shared" si="563"/>
        <v>2.9611725407789153</v>
      </c>
      <c r="I846" s="1">
        <f t="shared" si="563"/>
        <v>3.022765382349788</v>
      </c>
      <c r="J846" s="1">
        <f t="shared" si="563"/>
        <v>2.8804397463908096</v>
      </c>
      <c r="K846" s="1">
        <f t="shared" si="563"/>
        <v>1.1324845515310275E-3</v>
      </c>
    </row>
    <row r="847" spans="2:13" x14ac:dyDescent="0.25">
      <c r="B847" s="5" t="str">
        <f t="shared" si="553"/>
        <v>SPS3</v>
      </c>
      <c r="C847" s="5" t="str">
        <f t="shared" si="556"/>
        <v>CH</v>
      </c>
      <c r="D847" t="s">
        <v>2062</v>
      </c>
      <c r="E847" t="s">
        <v>8</v>
      </c>
      <c r="F847" s="1">
        <f>[1]Industry!B$66</f>
        <v>4.1173665324932189</v>
      </c>
      <c r="G847" s="1">
        <f>[1]Industry!C$66</f>
        <v>4.2663193835649187</v>
      </c>
      <c r="H847" s="1">
        <f>[1]Industry!D$66</f>
        <v>2.9611725407789153</v>
      </c>
      <c r="I847" s="1">
        <f>[1]Industry!E$66</f>
        <v>3.022765382349788</v>
      </c>
      <c r="J847" s="1">
        <f>[1]Industry!F$66</f>
        <v>2.8804397463908096</v>
      </c>
      <c r="K847" s="1">
        <f>[1]Industry!G$66</f>
        <v>1.1324845515310275E-3</v>
      </c>
    </row>
    <row r="848" spans="2:13" x14ac:dyDescent="0.25">
      <c r="B848" s="5" t="str">
        <f t="shared" si="553"/>
        <v>SPS3</v>
      </c>
      <c r="C848" s="5" t="str">
        <f t="shared" si="556"/>
        <v>CH</v>
      </c>
      <c r="D848" t="s">
        <v>2063</v>
      </c>
      <c r="E848" t="s">
        <v>8</v>
      </c>
      <c r="F848" s="1">
        <f>F849</f>
        <v>6.7640643251916405E-2</v>
      </c>
      <c r="G848" s="1">
        <f t="shared" ref="G848:K848" si="564">G849</f>
        <v>8.5494204607906327E-2</v>
      </c>
      <c r="H848" s="1">
        <f t="shared" si="564"/>
        <v>0.49031735934779053</v>
      </c>
      <c r="I848" s="1">
        <f t="shared" si="564"/>
        <v>0.70116803894032886</v>
      </c>
      <c r="J848" s="1">
        <f t="shared" si="564"/>
        <v>0.66197340303715124</v>
      </c>
      <c r="K848" s="1">
        <f t="shared" si="564"/>
        <v>0.43885864913992634</v>
      </c>
    </row>
    <row r="849" spans="2:11" x14ac:dyDescent="0.25">
      <c r="B849" s="5" t="str">
        <f t="shared" si="553"/>
        <v>SPS3</v>
      </c>
      <c r="C849" s="5" t="str">
        <f t="shared" si="556"/>
        <v>CH</v>
      </c>
      <c r="D849" t="s">
        <v>2064</v>
      </c>
      <c r="E849" t="s">
        <v>8</v>
      </c>
      <c r="F849" s="1">
        <f>[1]Industry!B$67</f>
        <v>6.7640643251916405E-2</v>
      </c>
      <c r="G849" s="1">
        <f>[1]Industry!C$67</f>
        <v>8.5494204607906327E-2</v>
      </c>
      <c r="H849" s="1">
        <f>[1]Industry!D$67</f>
        <v>0.49031735934779053</v>
      </c>
      <c r="I849" s="1">
        <f>[1]Industry!E$67</f>
        <v>0.70116803894032886</v>
      </c>
      <c r="J849" s="1">
        <f>[1]Industry!F$67</f>
        <v>0.66197340303715124</v>
      </c>
      <c r="K849" s="1">
        <f>[1]Industry!G$67</f>
        <v>0.43885864913992634</v>
      </c>
    </row>
    <row r="850" spans="2:11" x14ac:dyDescent="0.25">
      <c r="B850" s="5" t="str">
        <f t="shared" si="553"/>
        <v>SPS3</v>
      </c>
      <c r="C850" s="5" t="str">
        <f t="shared" si="55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65">G851</f>
        <v>0</v>
      </c>
      <c r="H850" s="1">
        <f t="shared" si="565"/>
        <v>0</v>
      </c>
      <c r="I850" s="1">
        <f t="shared" si="565"/>
        <v>9.5499431285721794</v>
      </c>
      <c r="J850" s="1">
        <f t="shared" si="565"/>
        <v>9.5499445583718092</v>
      </c>
      <c r="K850" s="1">
        <f t="shared" si="565"/>
        <v>9.5499452087680812</v>
      </c>
    </row>
    <row r="851" spans="2:11" x14ac:dyDescent="0.25">
      <c r="B851" s="5" t="str">
        <f t="shared" si="553"/>
        <v>SPS3</v>
      </c>
      <c r="C851" s="5" t="str">
        <f t="shared" si="55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9.5499431285721794</v>
      </c>
      <c r="J851" s="1">
        <f>[1]Industry!F$69</f>
        <v>9.5499445583718092</v>
      </c>
      <c r="K851" s="1">
        <f>[1]Industry!G$69</f>
        <v>9.5499452087680812</v>
      </c>
    </row>
    <row r="852" spans="2:11" x14ac:dyDescent="0.25">
      <c r="B852" s="5" t="str">
        <f t="shared" si="553"/>
        <v>SPS3</v>
      </c>
      <c r="C852" s="5" t="str">
        <f t="shared" si="55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66">SUM(G853:G854)</f>
        <v>4.8943306189813125</v>
      </c>
      <c r="H852" s="1">
        <f t="shared" si="566"/>
        <v>4.8944725467604826</v>
      </c>
      <c r="I852" s="1">
        <f t="shared" si="566"/>
        <v>6.8593404715548045</v>
      </c>
      <c r="J852" s="1">
        <f t="shared" si="566"/>
        <v>10.457272436586315</v>
      </c>
      <c r="K852" s="1">
        <f t="shared" si="566"/>
        <v>26.65741232134901</v>
      </c>
    </row>
    <row r="853" spans="2:11" x14ac:dyDescent="0.25">
      <c r="B853" s="5" t="str">
        <f t="shared" si="553"/>
        <v>SPS3</v>
      </c>
      <c r="C853" s="5" t="str">
        <f t="shared" si="55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0.63535830969819873</v>
      </c>
      <c r="H853" s="1">
        <f>[1]Industry!D$6-H854</f>
        <v>0.63520728583460784</v>
      </c>
      <c r="I853" s="1">
        <f>[1]Industry!E$6-I854</f>
        <v>0.6424692370473073</v>
      </c>
      <c r="J853" s="1">
        <f>[1]Industry!F$6-J854</f>
        <v>0.8211137881141557</v>
      </c>
      <c r="K853" s="1">
        <f>[1]Industry!G$6-K854</f>
        <v>5.7749165820990243</v>
      </c>
    </row>
    <row r="854" spans="2:11" x14ac:dyDescent="0.25">
      <c r="B854" s="5" t="str">
        <f t="shared" si="553"/>
        <v>SPS3</v>
      </c>
      <c r="C854" s="5" t="str">
        <f t="shared" si="55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4.2589723092831138</v>
      </c>
      <c r="H854" s="1">
        <f>[1]Industry!D$70</f>
        <v>4.2592652609258748</v>
      </c>
      <c r="I854" s="1">
        <f>[1]Industry!E$70</f>
        <v>6.2168712345074972</v>
      </c>
      <c r="J854" s="1">
        <f>[1]Industry!F$70</f>
        <v>9.6361586484721595</v>
      </c>
      <c r="K854" s="1">
        <f>[1]Industry!G$70</f>
        <v>20.882495739249986</v>
      </c>
    </row>
    <row r="855" spans="2:11" x14ac:dyDescent="0.25">
      <c r="B855" s="9" t="str">
        <f t="shared" si="553"/>
        <v>SPS3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 t="shared" si="553"/>
        <v>SPS3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0.84261542941328449</v>
      </c>
      <c r="G856" s="4">
        <f t="shared" ref="G856:K856" si="567">IFERROR(G818/G763,"-")</f>
        <v>0.84306236513985255</v>
      </c>
      <c r="H856" s="4">
        <f t="shared" si="567"/>
        <v>0.84373276872970715</v>
      </c>
      <c r="I856" s="4">
        <f t="shared" si="567"/>
        <v>0.84485010804613092</v>
      </c>
      <c r="J856" s="4">
        <f t="shared" si="567"/>
        <v>0.84708478667897735</v>
      </c>
      <c r="K856" s="4">
        <f t="shared" si="567"/>
        <v>0.84931946531182256</v>
      </c>
    </row>
    <row r="857" spans="2:11" x14ac:dyDescent="0.25">
      <c r="B857" s="5" t="str">
        <f t="shared" si="553"/>
        <v>SPS3</v>
      </c>
      <c r="C857" s="5" t="str">
        <f t="shared" ref="C857:C879" si="568">C856</f>
        <v>CH</v>
      </c>
      <c r="D857" t="s">
        <v>2071</v>
      </c>
      <c r="E857" t="s">
        <v>240</v>
      </c>
      <c r="F857" s="4">
        <f t="shared" ref="F857:K857" si="569">IFERROR(F819/F764,"-")</f>
        <v>3.0809801822513276</v>
      </c>
      <c r="G857" s="4">
        <f t="shared" si="569"/>
        <v>3.1055374774069153</v>
      </c>
      <c r="H857" s="4">
        <f t="shared" si="569"/>
        <v>3.1423734201402849</v>
      </c>
      <c r="I857" s="4">
        <f t="shared" si="569"/>
        <v>3.2037666580292492</v>
      </c>
      <c r="J857" s="4">
        <f t="shared" si="569"/>
        <v>3.3265531338071734</v>
      </c>
      <c r="K857" s="4">
        <f t="shared" si="569"/>
        <v>3.4493396095850879</v>
      </c>
    </row>
    <row r="858" spans="2:11" x14ac:dyDescent="0.25">
      <c r="B858" s="5" t="str">
        <f t="shared" si="553"/>
        <v>SPS3</v>
      </c>
      <c r="C858" s="5" t="str">
        <f t="shared" si="568"/>
        <v>CH</v>
      </c>
      <c r="D858" t="s">
        <v>2072</v>
      </c>
      <c r="E858" t="s">
        <v>240</v>
      </c>
      <c r="F858" s="4">
        <f t="shared" ref="F858:K858" si="570">IFERROR(F820/F765,"-")</f>
        <v>1</v>
      </c>
      <c r="G858" s="4">
        <f t="shared" si="570"/>
        <v>0.99999997024298215</v>
      </c>
      <c r="H858" s="4">
        <f t="shared" si="570"/>
        <v>0.99999997025811938</v>
      </c>
      <c r="I858" s="4">
        <f t="shared" si="570"/>
        <v>1.0000009590489631</v>
      </c>
      <c r="J858" s="4">
        <f t="shared" si="570"/>
        <v>1.0000056561159096</v>
      </c>
      <c r="K858" s="4">
        <f t="shared" si="570"/>
        <v>1.0220831708304827</v>
      </c>
    </row>
    <row r="859" spans="2:11" x14ac:dyDescent="0.25">
      <c r="B859" s="5" t="str">
        <f t="shared" si="553"/>
        <v>SPS3</v>
      </c>
      <c r="C859" s="5" t="str">
        <f t="shared" si="568"/>
        <v>CH</v>
      </c>
      <c r="D859" t="s">
        <v>2073</v>
      </c>
      <c r="E859" t="s">
        <v>240</v>
      </c>
      <c r="F859" s="4">
        <f>IFERROR(F822/F767,"-")</f>
        <v>0.77746213224363536</v>
      </c>
      <c r="G859" s="4">
        <f t="shared" ref="G859:K860" si="571">IFERROR(G822/G767,"-")</f>
        <v>0.77871988564932348</v>
      </c>
      <c r="H859" s="4">
        <f t="shared" si="571"/>
        <v>0.78060651575785545</v>
      </c>
      <c r="I859" s="4">
        <f t="shared" si="571"/>
        <v>0.78375089927207764</v>
      </c>
      <c r="J859" s="4">
        <f t="shared" si="571"/>
        <v>0.79003966630051847</v>
      </c>
      <c r="K859" s="4">
        <f t="shared" si="571"/>
        <v>0.79632843332896097</v>
      </c>
    </row>
    <row r="860" spans="2:11" x14ac:dyDescent="0.25">
      <c r="B860" s="5" t="str">
        <f t="shared" si="553"/>
        <v>SPS3</v>
      </c>
      <c r="C860" s="5" t="str">
        <f t="shared" si="568"/>
        <v>CH</v>
      </c>
      <c r="D860" t="s">
        <v>2074</v>
      </c>
      <c r="E860" t="s">
        <v>240</v>
      </c>
      <c r="F860" s="4">
        <f>IFERROR(F823/F768,"-")</f>
        <v>0.67612500000000031</v>
      </c>
      <c r="G860" s="4">
        <f t="shared" si="571"/>
        <v>0.67905000000000049</v>
      </c>
      <c r="H860" s="4">
        <f t="shared" si="571"/>
        <v>0.68343749999999959</v>
      </c>
      <c r="I860" s="4">
        <f t="shared" si="571"/>
        <v>0.69075000000000086</v>
      </c>
      <c r="J860" s="4">
        <f t="shared" si="571"/>
        <v>0.7053749999999992</v>
      </c>
      <c r="K860" s="4" t="str">
        <f t="shared" si="571"/>
        <v>-</v>
      </c>
    </row>
    <row r="861" spans="2:11" x14ac:dyDescent="0.25">
      <c r="B861" s="5" t="str">
        <f t="shared" si="553"/>
        <v>SPS3</v>
      </c>
      <c r="C861" s="5" t="str">
        <f t="shared" si="568"/>
        <v>CH</v>
      </c>
      <c r="D861" t="s">
        <v>2075</v>
      </c>
      <c r="E861" t="s">
        <v>240</v>
      </c>
      <c r="F861" s="4">
        <f>IFERROR(F825/F777,"-")</f>
        <v>0.80505295723338088</v>
      </c>
      <c r="G861" s="4">
        <f t="shared" ref="G861:K863" si="572">IFERROR(G825/G777,"-")</f>
        <v>0.80576539514091083</v>
      </c>
      <c r="H861" s="4">
        <f t="shared" si="572"/>
        <v>0.80718737875278701</v>
      </c>
      <c r="I861" s="4">
        <f t="shared" si="572"/>
        <v>0.8330613771291957</v>
      </c>
      <c r="J861" s="4">
        <f t="shared" si="572"/>
        <v>0.8159977628581464</v>
      </c>
      <c r="K861" s="4">
        <f t="shared" si="572"/>
        <v>0.25013479650567449</v>
      </c>
    </row>
    <row r="862" spans="2:11" x14ac:dyDescent="0.25">
      <c r="B862" s="5" t="str">
        <f t="shared" si="553"/>
        <v>SPS3</v>
      </c>
      <c r="C862" s="5" t="str">
        <f t="shared" si="568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572"/>
        <v>0</v>
      </c>
      <c r="H862" s="4" t="str">
        <f t="shared" si="572"/>
        <v>-</v>
      </c>
      <c r="I862" s="4" t="str">
        <f t="shared" si="572"/>
        <v>-</v>
      </c>
      <c r="J862" s="4" t="str">
        <f t="shared" si="572"/>
        <v>-</v>
      </c>
      <c r="K862" s="4" t="str">
        <f t="shared" si="572"/>
        <v>-</v>
      </c>
    </row>
    <row r="863" spans="2:11" x14ac:dyDescent="0.25">
      <c r="B863" s="5" t="str">
        <f t="shared" si="553"/>
        <v>SPS3</v>
      </c>
      <c r="C863" s="5" t="str">
        <f t="shared" si="568"/>
        <v>CH</v>
      </c>
      <c r="D863" t="s">
        <v>2077</v>
      </c>
      <c r="E863" t="s">
        <v>240</v>
      </c>
      <c r="F863" s="4">
        <f>IFERROR(F827/F779,"-")</f>
        <v>0.70744990925713069</v>
      </c>
      <c r="G863" s="4">
        <f t="shared" si="572"/>
        <v>0.70811469641844182</v>
      </c>
      <c r="H863" s="4">
        <f t="shared" si="572"/>
        <v>0.71100000000000074</v>
      </c>
      <c r="I863" s="4">
        <f t="shared" si="572"/>
        <v>0.71100000000000041</v>
      </c>
      <c r="J863" s="4">
        <f t="shared" si="572"/>
        <v>0.71099999999999908</v>
      </c>
      <c r="K863" s="4">
        <f t="shared" si="572"/>
        <v>0.72000000000000008</v>
      </c>
    </row>
    <row r="864" spans="2:11" x14ac:dyDescent="0.25">
      <c r="B864" s="5" t="str">
        <f t="shared" si="553"/>
        <v>SPS3</v>
      </c>
      <c r="C864" s="5" t="str">
        <f t="shared" si="568"/>
        <v>CH</v>
      </c>
      <c r="D864" t="s">
        <v>2078</v>
      </c>
      <c r="E864" t="s">
        <v>240</v>
      </c>
      <c r="F864" s="4">
        <f>IFERROR(F829/F788,"-")</f>
        <v>0.66499999999999959</v>
      </c>
      <c r="G864" s="4">
        <f t="shared" ref="G864:K864" si="573">IFERROR(G829/G788,"-")</f>
        <v>0.6659999999999997</v>
      </c>
      <c r="H864" s="4">
        <f t="shared" si="573"/>
        <v>0.66750000000000032</v>
      </c>
      <c r="I864" s="4">
        <f t="shared" si="573"/>
        <v>0.66999999999999971</v>
      </c>
      <c r="J864" s="4">
        <f t="shared" si="573"/>
        <v>0.67500000000000071</v>
      </c>
      <c r="K864" s="4">
        <f t="shared" si="573"/>
        <v>0.67999999999999983</v>
      </c>
    </row>
    <row r="865" spans="2:12" x14ac:dyDescent="0.25">
      <c r="B865" s="5" t="str">
        <f t="shared" si="553"/>
        <v>SPS3</v>
      </c>
      <c r="C865" s="5" t="str">
        <f t="shared" si="568"/>
        <v>CH</v>
      </c>
      <c r="D865" t="s">
        <v>2079</v>
      </c>
      <c r="E865" t="s">
        <v>240</v>
      </c>
      <c r="F865" s="4">
        <f>IFERROR(F832/F791,"-")</f>
        <v>1.2068317473125751</v>
      </c>
      <c r="G865" s="4">
        <f t="shared" ref="G865:K865" si="574">IFERROR(G832/G791,"-")</f>
        <v>0.95497961359077033</v>
      </c>
      <c r="H865" s="4">
        <f t="shared" si="574"/>
        <v>0.94003038177328768</v>
      </c>
      <c r="I865" s="4">
        <f t="shared" si="574"/>
        <v>0.93582232527036324</v>
      </c>
      <c r="J865" s="4">
        <f t="shared" si="574"/>
        <v>0.94385700978866005</v>
      </c>
      <c r="K865" s="4">
        <f t="shared" si="574"/>
        <v>0.94727252863490086</v>
      </c>
    </row>
    <row r="866" spans="2:12" x14ac:dyDescent="0.25">
      <c r="B866" s="5" t="str">
        <f t="shared" si="553"/>
        <v>SPS3</v>
      </c>
      <c r="C866" s="5" t="str">
        <f t="shared" si="568"/>
        <v>CH</v>
      </c>
      <c r="D866" t="s">
        <v>2080</v>
      </c>
      <c r="E866" t="s">
        <v>240</v>
      </c>
      <c r="F866" s="4">
        <f t="shared" ref="F866:K874" si="575">IFERROR(F833/F792,"-")</f>
        <v>1.2068317473125751</v>
      </c>
      <c r="G866" s="4">
        <f t="shared" si="575"/>
        <v>0.95497961359077033</v>
      </c>
      <c r="H866" s="4">
        <f t="shared" si="575"/>
        <v>0.94003038177328768</v>
      </c>
      <c r="I866" s="4">
        <f t="shared" si="575"/>
        <v>0.93582232527036335</v>
      </c>
      <c r="J866" s="4">
        <f t="shared" si="575"/>
        <v>0.94385700978866005</v>
      </c>
      <c r="K866" s="4">
        <f t="shared" si="575"/>
        <v>0.94727252863490097</v>
      </c>
    </row>
    <row r="867" spans="2:12" x14ac:dyDescent="0.25">
      <c r="B867" s="5" t="str">
        <f t="shared" si="553"/>
        <v>SPS3</v>
      </c>
      <c r="C867" s="5" t="str">
        <f t="shared" si="568"/>
        <v>CH</v>
      </c>
      <c r="D867" t="s">
        <v>2081</v>
      </c>
      <c r="E867" t="s">
        <v>240</v>
      </c>
      <c r="F867" s="4" t="str">
        <f t="shared" si="575"/>
        <v>-</v>
      </c>
      <c r="G867" s="4" t="str">
        <f t="shared" si="575"/>
        <v>-</v>
      </c>
      <c r="H867" s="4" t="str">
        <f t="shared" si="575"/>
        <v>-</v>
      </c>
      <c r="I867" s="4" t="str">
        <f t="shared" si="575"/>
        <v>-</v>
      </c>
      <c r="J867" s="4">
        <f t="shared" si="575"/>
        <v>0.94385700978866016</v>
      </c>
      <c r="K867" s="4">
        <f t="shared" si="575"/>
        <v>0.94727252863490097</v>
      </c>
    </row>
    <row r="868" spans="2:12" x14ac:dyDescent="0.25">
      <c r="B868" s="5" t="str">
        <f t="shared" si="553"/>
        <v>SPS3</v>
      </c>
      <c r="C868" s="5" t="str">
        <f t="shared" si="568"/>
        <v>CH</v>
      </c>
      <c r="D868" t="s">
        <v>2082</v>
      </c>
      <c r="E868" t="s">
        <v>240</v>
      </c>
      <c r="F868" s="4" t="str">
        <f t="shared" si="575"/>
        <v>-</v>
      </c>
      <c r="G868" s="4" t="str">
        <f t="shared" si="575"/>
        <v>-</v>
      </c>
      <c r="H868" s="4" t="str">
        <f t="shared" si="575"/>
        <v>-</v>
      </c>
      <c r="I868" s="4">
        <f t="shared" si="575"/>
        <v>0.93582232527036346</v>
      </c>
      <c r="J868" s="4">
        <f t="shared" si="575"/>
        <v>0.94385700978866016</v>
      </c>
      <c r="K868" s="4">
        <f t="shared" si="575"/>
        <v>0.94727252863490108</v>
      </c>
    </row>
    <row r="869" spans="2:12" x14ac:dyDescent="0.25">
      <c r="B869" s="5" t="str">
        <f t="shared" si="553"/>
        <v>SPS3</v>
      </c>
      <c r="C869" s="5" t="str">
        <f t="shared" si="568"/>
        <v>CH</v>
      </c>
      <c r="D869" t="s">
        <v>2083</v>
      </c>
      <c r="E869" t="s">
        <v>240</v>
      </c>
      <c r="F869" s="4">
        <f t="shared" si="575"/>
        <v>1.2068317473125754</v>
      </c>
      <c r="G869" s="4">
        <f t="shared" si="575"/>
        <v>0.95497961359077022</v>
      </c>
      <c r="H869" s="4">
        <f t="shared" si="575"/>
        <v>0.94003038177328768</v>
      </c>
      <c r="I869" s="4">
        <f t="shared" si="575"/>
        <v>0.93582232527036346</v>
      </c>
      <c r="J869" s="4">
        <f t="shared" si="575"/>
        <v>0.94385700978866016</v>
      </c>
      <c r="K869" s="4">
        <f t="shared" si="575"/>
        <v>0.94727252863490108</v>
      </c>
    </row>
    <row r="870" spans="2:12" x14ac:dyDescent="0.25">
      <c r="B870" s="5" t="str">
        <f t="shared" si="553"/>
        <v>SPS3</v>
      </c>
      <c r="C870" s="5" t="str">
        <f t="shared" si="568"/>
        <v>CH</v>
      </c>
      <c r="D870" t="s">
        <v>2084</v>
      </c>
      <c r="E870" t="s">
        <v>240</v>
      </c>
      <c r="F870" s="4" t="str">
        <f t="shared" si="575"/>
        <v>-</v>
      </c>
      <c r="G870" s="4" t="str">
        <f t="shared" si="575"/>
        <v>-</v>
      </c>
      <c r="H870" s="4" t="str">
        <f t="shared" si="575"/>
        <v>-</v>
      </c>
      <c r="I870" s="4" t="str">
        <f t="shared" si="575"/>
        <v>-</v>
      </c>
      <c r="J870" s="4">
        <f t="shared" si="575"/>
        <v>0.94385700978866005</v>
      </c>
      <c r="K870" s="4">
        <f t="shared" si="575"/>
        <v>0.94727252863490108</v>
      </c>
    </row>
    <row r="871" spans="2:12" x14ac:dyDescent="0.25">
      <c r="B871" s="5" t="str">
        <f t="shared" si="553"/>
        <v>SPS3</v>
      </c>
      <c r="C871" s="5" t="str">
        <f t="shared" si="568"/>
        <v>CH</v>
      </c>
      <c r="D871" t="s">
        <v>2085</v>
      </c>
      <c r="E871" t="s">
        <v>240</v>
      </c>
      <c r="F871" s="4">
        <f t="shared" si="575"/>
        <v>1.2068317473125751</v>
      </c>
      <c r="G871" s="4">
        <f t="shared" si="575"/>
        <v>0.95497961359077022</v>
      </c>
      <c r="H871" s="4">
        <f t="shared" si="575"/>
        <v>0.94003038177328779</v>
      </c>
      <c r="I871" s="4">
        <f t="shared" si="575"/>
        <v>0.93582232527036346</v>
      </c>
      <c r="J871" s="4">
        <f t="shared" si="575"/>
        <v>0.94385700978866005</v>
      </c>
      <c r="K871" s="4">
        <f t="shared" si="575"/>
        <v>0.94727252863490097</v>
      </c>
    </row>
    <row r="872" spans="2:12" x14ac:dyDescent="0.25">
      <c r="B872" s="5" t="str">
        <f t="shared" si="553"/>
        <v>SPS3</v>
      </c>
      <c r="C872" s="5" t="str">
        <f t="shared" si="568"/>
        <v>CH</v>
      </c>
      <c r="D872" t="s">
        <v>2086</v>
      </c>
      <c r="E872" t="s">
        <v>240</v>
      </c>
      <c r="F872" s="4" t="str">
        <f t="shared" si="575"/>
        <v>-</v>
      </c>
      <c r="G872" s="4" t="str">
        <f t="shared" si="575"/>
        <v>-</v>
      </c>
      <c r="H872" s="4" t="str">
        <f t="shared" si="575"/>
        <v>-</v>
      </c>
      <c r="I872" s="4" t="str">
        <f t="shared" si="575"/>
        <v>-</v>
      </c>
      <c r="J872" s="4">
        <f t="shared" si="575"/>
        <v>0.94385700978866016</v>
      </c>
      <c r="K872" s="4">
        <f t="shared" si="575"/>
        <v>0.94727252863490097</v>
      </c>
    </row>
    <row r="873" spans="2:12" x14ac:dyDescent="0.25">
      <c r="B873" s="5" t="str">
        <f t="shared" si="553"/>
        <v>SPS3</v>
      </c>
      <c r="C873" s="5" t="str">
        <f t="shared" si="568"/>
        <v>CH</v>
      </c>
      <c r="D873" t="s">
        <v>2087</v>
      </c>
      <c r="E873" t="s">
        <v>240</v>
      </c>
      <c r="F873" s="4" t="str">
        <f t="shared" si="575"/>
        <v>-</v>
      </c>
      <c r="G873" s="4" t="str">
        <f t="shared" si="575"/>
        <v>-</v>
      </c>
      <c r="H873" s="4" t="str">
        <f t="shared" si="575"/>
        <v>-</v>
      </c>
      <c r="I873" s="4">
        <f t="shared" si="575"/>
        <v>0.93582232527036346</v>
      </c>
      <c r="J873" s="4">
        <f t="shared" si="575"/>
        <v>0.94385700978866005</v>
      </c>
      <c r="K873" s="4">
        <f t="shared" si="575"/>
        <v>0.94727252863490097</v>
      </c>
    </row>
    <row r="874" spans="2:12" x14ac:dyDescent="0.25">
      <c r="B874" s="5" t="str">
        <f t="shared" si="553"/>
        <v>SPS3</v>
      </c>
      <c r="C874" s="5" t="str">
        <f t="shared" si="568"/>
        <v>CH</v>
      </c>
      <c r="D874" t="s">
        <v>2088</v>
      </c>
      <c r="E874" t="s">
        <v>240</v>
      </c>
      <c r="F874" s="4">
        <f t="shared" si="575"/>
        <v>0.92447626236575153</v>
      </c>
      <c r="G874" s="4">
        <f t="shared" si="575"/>
        <v>0.92645636412827215</v>
      </c>
      <c r="H874" s="4">
        <f t="shared" si="575"/>
        <v>0.92942651677205446</v>
      </c>
      <c r="I874" s="4">
        <f t="shared" si="575"/>
        <v>0.93437677117835849</v>
      </c>
      <c r="J874" s="4">
        <f t="shared" si="575"/>
        <v>0.94427727999096656</v>
      </c>
      <c r="K874" s="4">
        <f>IFERROR(K841/K800,"-")</f>
        <v>0.95000000000000029</v>
      </c>
    </row>
    <row r="875" spans="2:12" x14ac:dyDescent="0.25">
      <c r="B875" s="5" t="str">
        <f t="shared" si="553"/>
        <v>SPS3</v>
      </c>
      <c r="C875" s="5" t="str">
        <f t="shared" si="568"/>
        <v>CH</v>
      </c>
      <c r="D875" t="s">
        <v>2089</v>
      </c>
      <c r="E875" t="s">
        <v>240</v>
      </c>
      <c r="F875" s="4">
        <f>IFERROR(F843/F802,"-")</f>
        <v>0.59000000000000041</v>
      </c>
      <c r="G875" s="4">
        <f t="shared" ref="G875:K875" si="576">IFERROR(G843/G802,"-")</f>
        <v>0.59066666666666723</v>
      </c>
      <c r="H875" s="4">
        <f t="shared" si="576"/>
        <v>0.59166666666666612</v>
      </c>
      <c r="I875" s="4">
        <f t="shared" si="576"/>
        <v>0.59333333333333282</v>
      </c>
      <c r="J875" s="4">
        <f t="shared" si="576"/>
        <v>0.59666666666666668</v>
      </c>
      <c r="K875" s="4">
        <f t="shared" si="576"/>
        <v>0.59999999999999987</v>
      </c>
    </row>
    <row r="876" spans="2:12" x14ac:dyDescent="0.25">
      <c r="B876" s="5" t="str">
        <f t="shared" si="553"/>
        <v>SPS3</v>
      </c>
      <c r="C876" s="5" t="str">
        <f t="shared" si="568"/>
        <v>CH</v>
      </c>
      <c r="D876" t="s">
        <v>2090</v>
      </c>
      <c r="E876" t="s">
        <v>240</v>
      </c>
      <c r="F876" s="4">
        <f>IFERROR(F845/F804,"-")</f>
        <v>0.73750000000000038</v>
      </c>
      <c r="G876" s="4">
        <f t="shared" ref="G876:K876" si="577">IFERROR(G845/G804,"-")</f>
        <v>0.73833333333333351</v>
      </c>
      <c r="H876" s="4">
        <f t="shared" si="577"/>
        <v>0.73958333333333259</v>
      </c>
      <c r="I876" s="4">
        <f t="shared" si="577"/>
        <v>0.74166666666666692</v>
      </c>
      <c r="J876" s="4">
        <f t="shared" si="577"/>
        <v>0.74583333333333302</v>
      </c>
      <c r="K876" s="4">
        <f t="shared" si="577"/>
        <v>0.75000000000000078</v>
      </c>
    </row>
    <row r="877" spans="2:12" x14ac:dyDescent="0.25">
      <c r="B877" s="5" t="str">
        <f t="shared" si="553"/>
        <v>SPS3</v>
      </c>
      <c r="C877" s="5" t="str">
        <f t="shared" si="568"/>
        <v>CH</v>
      </c>
      <c r="D877" t="s">
        <v>2091</v>
      </c>
      <c r="E877" t="s">
        <v>240</v>
      </c>
      <c r="F877" s="4">
        <f>IFERROR(F847/F806,"-")</f>
        <v>0.52800000000000014</v>
      </c>
      <c r="G877" s="4">
        <f t="shared" ref="G877:K877" si="578">IFERROR(G847/G806,"-")</f>
        <v>0.52799999999999991</v>
      </c>
      <c r="H877" s="4">
        <f t="shared" si="578"/>
        <v>0.52799999999999936</v>
      </c>
      <c r="I877" s="4">
        <f t="shared" si="578"/>
        <v>0.52799999999999947</v>
      </c>
      <c r="J877" s="4">
        <f t="shared" si="578"/>
        <v>0.52800000000000002</v>
      </c>
      <c r="K877" s="4">
        <f t="shared" si="578"/>
        <v>0.54399999999999982</v>
      </c>
    </row>
    <row r="878" spans="2:12" x14ac:dyDescent="0.25">
      <c r="B878" s="5" t="str">
        <f t="shared" si="553"/>
        <v>SPS3</v>
      </c>
      <c r="C878" s="5" t="str">
        <f t="shared" si="568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579">IFERROR(G849/G810,"-")</f>
        <v>1</v>
      </c>
      <c r="H878" s="4">
        <f t="shared" si="579"/>
        <v>1</v>
      </c>
      <c r="I878" s="4">
        <f t="shared" si="579"/>
        <v>1</v>
      </c>
      <c r="J878" s="4">
        <f t="shared" si="579"/>
        <v>1</v>
      </c>
      <c r="K878" s="4">
        <f t="shared" si="579"/>
        <v>1</v>
      </c>
    </row>
    <row r="879" spans="2:12" x14ac:dyDescent="0.25">
      <c r="B879" s="5" t="str">
        <f t="shared" si="553"/>
        <v>SPS3</v>
      </c>
      <c r="C879" s="5" t="str">
        <f t="shared" si="568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580">IFERROR(G851/G812,"-")</f>
        <v>-</v>
      </c>
      <c r="H879" s="4">
        <f t="shared" si="580"/>
        <v>0</v>
      </c>
      <c r="I879" s="4">
        <f t="shared" si="580"/>
        <v>0.78276031308777028</v>
      </c>
      <c r="J879" s="4">
        <f t="shared" si="580"/>
        <v>0.80712641834380616</v>
      </c>
      <c r="K879" s="4">
        <f t="shared" si="580"/>
        <v>0.81204914164543329</v>
      </c>
    </row>
    <row r="880" spans="2:12" x14ac:dyDescent="0.25">
      <c r="B880" s="9" t="str">
        <f t="shared" si="553"/>
        <v>SPS3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581">F881+F885+F892+F903+F911+F913+F915+F917+F921</f>
        <v>140.10110102735246</v>
      </c>
      <c r="G880" s="17">
        <f t="shared" si="581"/>
        <v>136.9369679955465</v>
      </c>
      <c r="H880" s="17">
        <f t="shared" si="581"/>
        <v>127.1300472507303</v>
      </c>
      <c r="I880" s="17">
        <f t="shared" si="581"/>
        <v>114.45707206436465</v>
      </c>
      <c r="J880" s="17">
        <f t="shared" si="581"/>
        <v>97.573200847736871</v>
      </c>
      <c r="K880" s="17">
        <f t="shared" si="581"/>
        <v>83.339382370239889</v>
      </c>
      <c r="L880" s="17"/>
    </row>
    <row r="881" spans="2:12" x14ac:dyDescent="0.25">
      <c r="B881" s="5" t="str">
        <f t="shared" si="553"/>
        <v>SPS3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60.950012231356595</v>
      </c>
      <c r="G881" s="1">
        <f>[1]Services!C$11</f>
        <v>60.370769080047253</v>
      </c>
      <c r="H881" s="1">
        <f>[1]Services!D$11</f>
        <v>57.720704969117243</v>
      </c>
      <c r="I881" s="1">
        <f>[1]Services!E$11</f>
        <v>56.438859124227534</v>
      </c>
      <c r="J881" s="1">
        <f>[1]Services!F$11</f>
        <v>53.850652001564491</v>
      </c>
      <c r="K881" s="1">
        <f>[1]Services!G$11</f>
        <v>48.125463672882837</v>
      </c>
    </row>
    <row r="882" spans="2:12" x14ac:dyDescent="0.25">
      <c r="B882" s="5" t="str">
        <f t="shared" si="553"/>
        <v>SPS3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2.6236068006054873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0.243672020748296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1.027959579874467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0.57842097155856897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0.38804548006869982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0.26366808684174081</v>
      </c>
    </row>
    <row r="883" spans="2:12" x14ac:dyDescent="0.25">
      <c r="B883" s="5" t="str">
        <f t="shared" si="553"/>
        <v>SPS3</v>
      </c>
      <c r="C883" s="5" t="str">
        <f t="shared" ref="C883:C922" si="582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1.3316308558386691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1.4252016918485158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2.0557077617472186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4.6021383667020643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7.3084691572829765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6.7533536825717855</v>
      </c>
    </row>
    <row r="884" spans="2:12" x14ac:dyDescent="0.25">
      <c r="B884" s="5" t="str">
        <f t="shared" ref="B884:B947" si="583">B883</f>
        <v>SPS3</v>
      </c>
      <c r="C884" s="5" t="str">
        <f t="shared" si="582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58.70189536745044</v>
      </c>
      <c r="H884" s="1">
        <f>[1]Services!D$11-[1]Services!D$28</f>
        <v>54.637037627495559</v>
      </c>
      <c r="I884" s="1">
        <f>[1]Services!E$11-[1]Services!E$28</f>
        <v>51.258299785966898</v>
      </c>
      <c r="J884" s="1">
        <f>[1]Services!F$11-[1]Services!F$28</f>
        <v>46.154137364212815</v>
      </c>
      <c r="K884" s="1">
        <f>[1]Services!G$11-[1]Services!G$28</f>
        <v>41.108441903469313</v>
      </c>
    </row>
    <row r="885" spans="2:12" x14ac:dyDescent="0.25">
      <c r="B885" s="5" t="str">
        <f t="shared" si="583"/>
        <v>SPS3</v>
      </c>
      <c r="C885" s="5" t="str">
        <f t="shared" si="582"/>
        <v>CH</v>
      </c>
      <c r="D885" t="s">
        <v>499</v>
      </c>
      <c r="E885" t="s">
        <v>8</v>
      </c>
      <c r="F885" s="1">
        <f>F886</f>
        <v>30.256636734487458</v>
      </c>
      <c r="G885" s="1">
        <f t="shared" ref="G885:K885" si="584">G886</f>
        <v>25.333442974615789</v>
      </c>
      <c r="H885" s="1">
        <f t="shared" si="584"/>
        <v>24.45568841767529</v>
      </c>
      <c r="I885" s="1">
        <f t="shared" si="584"/>
        <v>12.272694350011109</v>
      </c>
      <c r="J885" s="1">
        <f t="shared" si="584"/>
        <v>2.3687169213460373</v>
      </c>
      <c r="K885" s="1">
        <f t="shared" si="584"/>
        <v>7.9231004973455268E-2</v>
      </c>
      <c r="L885" s="1"/>
    </row>
    <row r="886" spans="2:12" x14ac:dyDescent="0.25">
      <c r="B886" s="5" t="str">
        <f t="shared" si="583"/>
        <v>SPS3</v>
      </c>
      <c r="C886" s="5" t="str">
        <f t="shared" si="582"/>
        <v>CH</v>
      </c>
      <c r="D886" t="s">
        <v>500</v>
      </c>
      <c r="E886" t="s">
        <v>8</v>
      </c>
      <c r="F886" s="1">
        <f>SUM(F889,F891)</f>
        <v>30.256636734487458</v>
      </c>
      <c r="G886" s="1">
        <f t="shared" ref="G886:K886" si="585">SUM(G889,G891)</f>
        <v>25.333442974615789</v>
      </c>
      <c r="H886" s="1">
        <f t="shared" si="585"/>
        <v>24.45568841767529</v>
      </c>
      <c r="I886" s="1">
        <f t="shared" si="585"/>
        <v>12.272694350011109</v>
      </c>
      <c r="J886" s="1">
        <f t="shared" si="585"/>
        <v>2.3687169213460373</v>
      </c>
      <c r="K886" s="1">
        <f t="shared" si="585"/>
        <v>7.9231004973455268E-2</v>
      </c>
    </row>
    <row r="887" spans="2:12" x14ac:dyDescent="0.25">
      <c r="B887" s="5" t="str">
        <f t="shared" si="583"/>
        <v>SPS3</v>
      </c>
      <c r="C887" s="5" t="str">
        <f>C886</f>
        <v>CH</v>
      </c>
      <c r="D887" t="s">
        <v>964</v>
      </c>
      <c r="E887" t="s">
        <v>8</v>
      </c>
      <c r="F887" s="1">
        <f>F888</f>
        <v>30.256636734487458</v>
      </c>
      <c r="G887" s="1">
        <f t="shared" ref="G887:K887" si="586">G888</f>
        <v>25.333442974615789</v>
      </c>
      <c r="H887" s="1">
        <f t="shared" si="586"/>
        <v>24.455111159897928</v>
      </c>
      <c r="I887" s="1">
        <f t="shared" si="586"/>
        <v>12.272149582256599</v>
      </c>
      <c r="J887" s="1">
        <f t="shared" si="586"/>
        <v>2.3678457072529784</v>
      </c>
      <c r="K887" s="1">
        <f t="shared" si="586"/>
        <v>1.434313493207319E-6</v>
      </c>
    </row>
    <row r="888" spans="2:12" x14ac:dyDescent="0.25">
      <c r="B888" s="5" t="str">
        <f t="shared" si="583"/>
        <v>SPS3</v>
      </c>
      <c r="C888" s="5" t="str">
        <f t="shared" si="582"/>
        <v>CH</v>
      </c>
      <c r="D888" t="s">
        <v>528</v>
      </c>
      <c r="E888" t="s">
        <v>8</v>
      </c>
      <c r="F888" s="1">
        <f>[1]Services!B$12</f>
        <v>30.256636734487458</v>
      </c>
      <c r="G888" s="1">
        <f>[1]Services!C$12</f>
        <v>25.333442974615789</v>
      </c>
      <c r="H888" s="1">
        <f>[1]Services!D$12</f>
        <v>24.455111159897928</v>
      </c>
      <c r="I888" s="1">
        <f>[1]Services!E$12</f>
        <v>12.272149582256599</v>
      </c>
      <c r="J888" s="1">
        <f>[1]Services!F$12</f>
        <v>2.3678457072529784</v>
      </c>
      <c r="K888" s="1">
        <f>[1]Services!G$12</f>
        <v>1.434313493207319E-6</v>
      </c>
    </row>
    <row r="889" spans="2:12" x14ac:dyDescent="0.25">
      <c r="B889" s="5" t="str">
        <f t="shared" si="583"/>
        <v>SPS3</v>
      </c>
      <c r="C889" s="5" t="str">
        <f t="shared" si="582"/>
        <v>CH</v>
      </c>
      <c r="D889" t="s">
        <v>529</v>
      </c>
      <c r="E889" t="s">
        <v>8</v>
      </c>
      <c r="F889" s="1">
        <f>F888</f>
        <v>30.256636734487458</v>
      </c>
      <c r="G889" s="1">
        <f t="shared" ref="G889:K889" si="587">G888</f>
        <v>25.333442974615789</v>
      </c>
      <c r="H889" s="1">
        <f t="shared" si="587"/>
        <v>24.455111159897928</v>
      </c>
      <c r="I889" s="1">
        <f t="shared" si="587"/>
        <v>12.272149582256599</v>
      </c>
      <c r="J889" s="1">
        <f t="shared" si="587"/>
        <v>2.3678457072529784</v>
      </c>
      <c r="K889" s="1">
        <f t="shared" si="587"/>
        <v>1.434313493207319E-6</v>
      </c>
    </row>
    <row r="890" spans="2:12" x14ac:dyDescent="0.25">
      <c r="B890" s="5" t="str">
        <f t="shared" si="583"/>
        <v>SPS3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588">G891</f>
        <v>0</v>
      </c>
      <c r="H890">
        <f t="shared" si="588"/>
        <v>5.7725777736054233E-4</v>
      </c>
      <c r="I890">
        <f t="shared" si="588"/>
        <v>5.4476775451011393E-4</v>
      </c>
      <c r="J890">
        <f t="shared" si="588"/>
        <v>8.7121409305878283E-4</v>
      </c>
      <c r="K890">
        <f t="shared" si="588"/>
        <v>7.9229570659962056E-2</v>
      </c>
    </row>
    <row r="891" spans="2:12" x14ac:dyDescent="0.25">
      <c r="B891" s="5" t="str">
        <f t="shared" si="583"/>
        <v>SPS3</v>
      </c>
      <c r="C891" s="5" t="str">
        <f t="shared" si="582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5.7725777736054233E-4</v>
      </c>
      <c r="I891">
        <f>[1]Services!E$13</f>
        <v>5.4476775451011393E-4</v>
      </c>
      <c r="J891">
        <f>[1]Services!F$13</f>
        <v>8.7121409305878283E-4</v>
      </c>
      <c r="K891">
        <f>[1]Services!G$13</f>
        <v>7.9229570659962056E-2</v>
      </c>
    </row>
    <row r="892" spans="2:12" x14ac:dyDescent="0.25">
      <c r="B892" s="5" t="str">
        <f t="shared" si="583"/>
        <v>SPS3</v>
      </c>
      <c r="C892" s="5" t="str">
        <f t="shared" si="582"/>
        <v>CH</v>
      </c>
      <c r="D892" t="s">
        <v>501</v>
      </c>
      <c r="E892" t="s">
        <v>8</v>
      </c>
      <c r="F892" s="1">
        <f>SUM(F893:F895)</f>
        <v>26.950968569500755</v>
      </c>
      <c r="G892" s="1">
        <f t="shared" ref="G892:K892" si="589">SUM(G893:G895)</f>
        <v>28.287007198918786</v>
      </c>
      <c r="H892" s="1">
        <f t="shared" si="589"/>
        <v>23.53640428524286</v>
      </c>
      <c r="I892" s="1">
        <f t="shared" si="589"/>
        <v>16.90650152988232</v>
      </c>
      <c r="J892" s="1">
        <f t="shared" si="589"/>
        <v>8.2027875675349033</v>
      </c>
      <c r="K892" s="1">
        <f t="shared" si="589"/>
        <v>5.5011547377373882</v>
      </c>
    </row>
    <row r="893" spans="2:12" x14ac:dyDescent="0.25">
      <c r="B893" s="5" t="str">
        <f t="shared" si="583"/>
        <v>SPS3</v>
      </c>
      <c r="C893" s="5" t="str">
        <f t="shared" si="582"/>
        <v>CH</v>
      </c>
      <c r="D893" t="s">
        <v>681</v>
      </c>
      <c r="E893" t="s">
        <v>8</v>
      </c>
      <c r="F893" s="1">
        <f>SUM([1]Services!B$14:B$15)-F894</f>
        <v>25.548689594366429</v>
      </c>
      <c r="G893" s="1">
        <f>SUM([1]Services!C$14:C$15)</f>
        <v>26.749782272379822</v>
      </c>
      <c r="H893" s="1">
        <f>SUM([1]Services!D$14:D$15)</f>
        <v>22.439372321455604</v>
      </c>
      <c r="I893" s="1">
        <f>SUM([1]Services!E$14:E$15)</f>
        <v>14.820767308350934</v>
      </c>
      <c r="J893" s="1">
        <f>SUM([1]Services!F$14:F$15)</f>
        <v>5.2191562452076594</v>
      </c>
      <c r="K893" s="1">
        <f>SUM([1]Services!G$14:G$15)</f>
        <v>3.2235659394672456</v>
      </c>
    </row>
    <row r="894" spans="2:12" x14ac:dyDescent="0.25">
      <c r="B894" s="5" t="str">
        <f t="shared" si="583"/>
        <v>SPS3</v>
      </c>
      <c r="C894" s="5" t="str">
        <f t="shared" ref="C894" si="590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1.0970319637872541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2.0857342215313874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2.9836313223272439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2.2775887982701426</v>
      </c>
    </row>
    <row r="895" spans="2:12" x14ac:dyDescent="0.25">
      <c r="B895" s="5" t="str">
        <f t="shared" si="583"/>
        <v>SPS3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1.4022789751343248</v>
      </c>
      <c r="G895" s="1">
        <f>[1]Services!C$16</f>
        <v>1.537224926538963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25">
      <c r="B896" s="5" t="str">
        <f t="shared" si="583"/>
        <v>SPS3</v>
      </c>
      <c r="C896" s="5" t="str">
        <f t="shared" si="582"/>
        <v>CH</v>
      </c>
      <c r="D896" t="s">
        <v>967</v>
      </c>
      <c r="E896" t="s">
        <v>8</v>
      </c>
      <c r="F896" s="1">
        <f>[1]Services!B$14</f>
        <v>25.261711011587749</v>
      </c>
      <c r="G896" s="1">
        <f>[1]Services!C$14</f>
        <v>25.299721380195976</v>
      </c>
      <c r="H896" s="1">
        <f>[1]Services!D$14</f>
        <v>21.444133499956664</v>
      </c>
      <c r="I896" s="1">
        <f>[1]Services!E$14</f>
        <v>13.59189174009955</v>
      </c>
      <c r="J896" s="1">
        <f>[1]Services!F$14</f>
        <v>5.2187883277497988</v>
      </c>
      <c r="K896" s="1">
        <f>[1]Services!G$14</f>
        <v>3.2232653586320485</v>
      </c>
    </row>
    <row r="897" spans="2:11" x14ac:dyDescent="0.25">
      <c r="B897" s="5" t="str">
        <f t="shared" si="583"/>
        <v>SPS3</v>
      </c>
      <c r="C897" s="5" t="str">
        <f t="shared" si="582"/>
        <v>CH</v>
      </c>
      <c r="D897" t="s">
        <v>682</v>
      </c>
      <c r="E897" t="s">
        <v>8</v>
      </c>
      <c r="F897" s="1">
        <f>[1]Services!B$14*IFERROR(F893/SUM(F893:F894),0)</f>
        <v>25.261711011587749</v>
      </c>
      <c r="G897" s="1">
        <f>[1]Services!C$14*IFERROR(G893/SUM(G893:G894),0)</f>
        <v>25.299721380195976</v>
      </c>
      <c r="H897" s="1">
        <f>[1]Services!D$14*IFERROR(H893/SUM(H893:H894),0)</f>
        <v>20.444622291699442</v>
      </c>
      <c r="I897" s="1">
        <f>[1]Services!E$14*IFERROR(I893/SUM(I893:I894),0)</f>
        <v>11.915076836225541</v>
      </c>
      <c r="J897" s="1">
        <f>[1]Services!F$14*IFERROR(J893/SUM(J893:J894),0)</f>
        <v>3.3205384717012305</v>
      </c>
      <c r="K897" s="1">
        <f>[1]Services!G$14*IFERROR(K893/SUM(K893:K894),0)</f>
        <v>1.8887686166458386</v>
      </c>
    </row>
    <row r="898" spans="2:11" x14ac:dyDescent="0.25">
      <c r="B898" s="5" t="str">
        <f t="shared" si="583"/>
        <v>SPS3</v>
      </c>
      <c r="C898" s="5" t="str">
        <f t="shared" ref="C898" si="591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592">G896-G897</f>
        <v>0</v>
      </c>
      <c r="H898" s="1">
        <f t="shared" si="592"/>
        <v>0.99951120825722128</v>
      </c>
      <c r="I898" s="1">
        <f t="shared" si="592"/>
        <v>1.6768149038740088</v>
      </c>
      <c r="J898" s="1">
        <f t="shared" si="592"/>
        <v>1.8982498560485683</v>
      </c>
      <c r="K898" s="1">
        <f t="shared" si="592"/>
        <v>1.3344967419862099</v>
      </c>
    </row>
    <row r="899" spans="2:11" x14ac:dyDescent="0.25">
      <c r="B899" s="5" t="str">
        <f t="shared" si="583"/>
        <v>SPS3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1.689257557913006</v>
      </c>
      <c r="G899" s="1">
        <f>[1]Services!C$15+G902</f>
        <v>2.98728581872281</v>
      </c>
      <c r="H899" s="1">
        <f>[1]Services!D$15+H902</f>
        <v>0.99523882149894061</v>
      </c>
      <c r="I899" s="1">
        <f>[1]Services!E$15+I902</f>
        <v>1.2288755682513848</v>
      </c>
      <c r="J899" s="1">
        <f>[1]Services!F$15+J902</f>
        <v>3.6791745786092956E-4</v>
      </c>
      <c r="K899" s="1">
        <f>[1]Services!G$15+K902</f>
        <v>3.0058083519700574E-4</v>
      </c>
    </row>
    <row r="900" spans="2:11" x14ac:dyDescent="0.25">
      <c r="B900" s="5" t="str">
        <f t="shared" si="583"/>
        <v>SPS3</v>
      </c>
      <c r="C900" s="5" t="str">
        <f t="shared" si="582"/>
        <v>CH</v>
      </c>
      <c r="D900" t="s">
        <v>683</v>
      </c>
      <c r="E900" t="s">
        <v>8</v>
      </c>
      <c r="F900" s="1">
        <f>[1]Services!B$15*F893/SUM(F893:F894)</f>
        <v>0.28697858277868127</v>
      </c>
      <c r="G900" s="1">
        <f>[1]Services!C$15*G893/SUM(G893:G894)</f>
        <v>1.4500608921838469</v>
      </c>
      <c r="H900" s="1">
        <f>[1]Services!D$15*H893/SUM(H893:H894)</f>
        <v>0.94885073326105906</v>
      </c>
      <c r="I900" s="1">
        <f>[1]Services!E$15*I893/SUM(I893:I894)</f>
        <v>1.0772707065255311</v>
      </c>
      <c r="J900" s="1">
        <f>[1]Services!F$15*J893/SUM(J893:J894)</f>
        <v>2.3409343251989874E-4</v>
      </c>
      <c r="K900" s="1">
        <f>[1]Services!G$15*K893/SUM(K893:K894)</f>
        <v>1.7613431880961935E-4</v>
      </c>
    </row>
    <row r="901" spans="2:11" x14ac:dyDescent="0.25">
      <c r="B901" s="5" t="str">
        <f t="shared" si="583"/>
        <v>SPS3</v>
      </c>
      <c r="C901" s="5" t="str">
        <f t="shared" ref="C901" si="593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4.6388088237881382E-2</v>
      </c>
      <c r="I901" s="1">
        <f>[1]Services!E$15*I894/SUM(I893:I894)</f>
        <v>0.15160486172585372</v>
      </c>
      <c r="J901" s="1">
        <f>[1]Services!F$15*J894/SUM(J893:J894)</f>
        <v>1.3382402534103081E-4</v>
      </c>
      <c r="K901" s="1">
        <f>[1]Services!G$15*K894/SUM(K893:K894)</f>
        <v>1.2444651638738639E-4</v>
      </c>
    </row>
    <row r="902" spans="2:11" x14ac:dyDescent="0.25">
      <c r="B902" s="5" t="str">
        <f t="shared" si="583"/>
        <v>SPS3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1.4022789751343248</v>
      </c>
      <c r="G902" s="1">
        <f>[1]Services!C$16</f>
        <v>1.537224926538963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25">
      <c r="B903" s="5" t="str">
        <f t="shared" si="583"/>
        <v>SPS3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7.726892276182447</v>
      </c>
      <c r="G903" s="1">
        <f>[1]Services!C$17</f>
        <v>8.3696987768589395</v>
      </c>
      <c r="H903" s="1">
        <f>[1]Services!D$17</f>
        <v>6.8674032595687251</v>
      </c>
      <c r="I903" s="1">
        <f>[1]Services!E$17</f>
        <v>8.3290056176157812</v>
      </c>
      <c r="J903" s="1">
        <f>[1]Services!F$17</f>
        <v>8.1522905379863602</v>
      </c>
      <c r="K903" s="1">
        <f>[1]Services!G$17</f>
        <v>6.9557151024256498</v>
      </c>
    </row>
    <row r="904" spans="2:11" x14ac:dyDescent="0.25">
      <c r="B904" s="5" t="str">
        <f t="shared" si="583"/>
        <v>SPS3</v>
      </c>
      <c r="C904" s="5" t="str">
        <f t="shared" si="582"/>
        <v>CH</v>
      </c>
      <c r="D904" t="s">
        <v>970</v>
      </c>
      <c r="E904" t="s">
        <v>8</v>
      </c>
      <c r="F904" s="1">
        <f>[1]Services!B$51/0.99</f>
        <v>2.116888344855469</v>
      </c>
      <c r="G904" s="1">
        <f>[1]Services!C$51/0.99</f>
        <v>2.2929938052788632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25">
      <c r="B905" s="5" t="str">
        <f t="shared" si="583"/>
        <v>SPS3</v>
      </c>
      <c r="C905" s="5" t="str">
        <f t="shared" si="582"/>
        <v>CH</v>
      </c>
      <c r="D905" t="s">
        <v>507</v>
      </c>
      <c r="E905" t="s">
        <v>8</v>
      </c>
      <c r="F905" s="1">
        <f>F904-SUM(F906:F909)</f>
        <v>1.4243059625789876</v>
      </c>
      <c r="G905" s="1">
        <f t="shared" ref="G905:K905" si="594">G904-SUM(G906:G909)</f>
        <v>1.5427178119408862</v>
      </c>
      <c r="H905" s="1">
        <f t="shared" si="594"/>
        <v>-2.8314460102245691E-3</v>
      </c>
      <c r="I905" s="1">
        <f t="shared" si="594"/>
        <v>-2.653767796739843E-3</v>
      </c>
      <c r="J905" s="1">
        <f t="shared" si="594"/>
        <v>-1.591403312190404E-2</v>
      </c>
      <c r="K905" s="1">
        <f t="shared" si="594"/>
        <v>-1.9702879292092423E-2</v>
      </c>
    </row>
    <row r="906" spans="2:11" x14ac:dyDescent="0.25">
      <c r="B906" s="5" t="str">
        <f t="shared" si="583"/>
        <v>SPS3</v>
      </c>
      <c r="C906" s="5" t="str">
        <f t="shared" si="582"/>
        <v>CH</v>
      </c>
      <c r="D906" t="s">
        <v>503</v>
      </c>
      <c r="E906" t="s">
        <v>8</v>
      </c>
      <c r="F906" s="1">
        <f t="shared" ref="F906:K907" si="595">F247</f>
        <v>0.69258238227648128</v>
      </c>
      <c r="G906" s="1">
        <f t="shared" si="595"/>
        <v>0.75027599333797712</v>
      </c>
      <c r="H906" s="1">
        <f t="shared" si="595"/>
        <v>2.8314460102245691E-3</v>
      </c>
      <c r="I906" s="1">
        <f t="shared" si="595"/>
        <v>7.2768325578505895E-4</v>
      </c>
      <c r="J906" s="1">
        <f t="shared" si="595"/>
        <v>1.172370103239734E-2</v>
      </c>
      <c r="K906" s="1">
        <f t="shared" si="595"/>
        <v>5.5354046152562722E-4</v>
      </c>
    </row>
    <row r="907" spans="2:11" x14ac:dyDescent="0.25">
      <c r="B907" s="5" t="str">
        <f t="shared" si="583"/>
        <v>SPS3</v>
      </c>
      <c r="C907" s="5" t="str">
        <f t="shared" si="582"/>
        <v>CH</v>
      </c>
      <c r="D907" t="s">
        <v>504</v>
      </c>
      <c r="E907" t="s">
        <v>8</v>
      </c>
      <c r="F907" s="1">
        <f t="shared" si="595"/>
        <v>0</v>
      </c>
      <c r="G907" s="1">
        <f t="shared" si="595"/>
        <v>0</v>
      </c>
      <c r="H907" s="1">
        <f t="shared" si="595"/>
        <v>0</v>
      </c>
      <c r="I907" s="1">
        <f t="shared" si="595"/>
        <v>6.3009878656403244E-5</v>
      </c>
      <c r="J907" s="1">
        <f t="shared" si="595"/>
        <v>1.910287026322795E-3</v>
      </c>
      <c r="K907" s="1">
        <f t="shared" si="595"/>
        <v>1.7965605331811092E-2</v>
      </c>
    </row>
    <row r="908" spans="2:11" x14ac:dyDescent="0.25">
      <c r="B908" s="5" t="str">
        <f t="shared" si="583"/>
        <v>SPS3</v>
      </c>
      <c r="C908" s="5" t="str">
        <f t="shared" si="582"/>
        <v>CH</v>
      </c>
      <c r="D908" t="s">
        <v>505</v>
      </c>
      <c r="E908" t="s">
        <v>8</v>
      </c>
      <c r="F908" s="1">
        <f t="shared" ref="F908:K908" si="596">F285</f>
        <v>0</v>
      </c>
      <c r="G908" s="1">
        <f t="shared" si="596"/>
        <v>0</v>
      </c>
      <c r="H908" s="1">
        <f t="shared" si="596"/>
        <v>0</v>
      </c>
      <c r="I908" s="1">
        <f t="shared" si="596"/>
        <v>8.7792023565043398E-4</v>
      </c>
      <c r="J908" s="1">
        <f t="shared" si="596"/>
        <v>1.7173380176368274E-3</v>
      </c>
      <c r="K908" s="1">
        <f t="shared" si="596"/>
        <v>5.6777434906293194E-4</v>
      </c>
    </row>
    <row r="909" spans="2:11" x14ac:dyDescent="0.25">
      <c r="B909" s="5" t="str">
        <f t="shared" si="583"/>
        <v>SPS3</v>
      </c>
      <c r="C909" s="5" t="str">
        <f t="shared" si="582"/>
        <v>CH</v>
      </c>
      <c r="D909" t="s">
        <v>506</v>
      </c>
      <c r="E909" t="s">
        <v>8</v>
      </c>
      <c r="F909" s="1">
        <f t="shared" ref="F909:K909" si="597">F288</f>
        <v>0</v>
      </c>
      <c r="G909" s="1">
        <f t="shared" si="597"/>
        <v>0</v>
      </c>
      <c r="H909" s="1">
        <f t="shared" si="597"/>
        <v>0</v>
      </c>
      <c r="I909" s="1">
        <f t="shared" si="597"/>
        <v>9.8515442664794703E-4</v>
      </c>
      <c r="J909" s="1">
        <f t="shared" si="597"/>
        <v>5.6270704554707768E-4</v>
      </c>
      <c r="K909" s="1">
        <f t="shared" si="597"/>
        <v>6.1595914969277056E-4</v>
      </c>
    </row>
    <row r="910" spans="2:11" x14ac:dyDescent="0.25">
      <c r="B910" s="5" t="str">
        <f t="shared" si="583"/>
        <v>SPS3</v>
      </c>
      <c r="C910" s="5" t="str">
        <f t="shared" si="582"/>
        <v>CH</v>
      </c>
      <c r="D910" t="s">
        <v>971</v>
      </c>
      <c r="E910" t="s">
        <v>8</v>
      </c>
      <c r="F910" s="1">
        <f>F903-F904</f>
        <v>5.6100039313269781</v>
      </c>
      <c r="G910" s="1">
        <f t="shared" ref="G910:K910" si="598">G903-G904</f>
        <v>6.0767049715800763</v>
      </c>
      <c r="H910" s="1">
        <f t="shared" si="598"/>
        <v>6.8674032595687251</v>
      </c>
      <c r="I910" s="1">
        <f t="shared" si="598"/>
        <v>8.3290056176157812</v>
      </c>
      <c r="J910" s="1">
        <f t="shared" si="598"/>
        <v>8.1522905379863602</v>
      </c>
      <c r="K910" s="1">
        <f t="shared" si="598"/>
        <v>6.9557151024256498</v>
      </c>
    </row>
    <row r="911" spans="2:11" x14ac:dyDescent="0.25">
      <c r="B911" s="5" t="str">
        <f t="shared" si="583"/>
        <v>SPS3</v>
      </c>
      <c r="C911" s="5" t="str">
        <f t="shared" si="582"/>
        <v>CH</v>
      </c>
      <c r="D911" t="s">
        <v>972</v>
      </c>
      <c r="E911" t="s">
        <v>8</v>
      </c>
      <c r="F911" s="1">
        <f>F912</f>
        <v>8.5743709335386651</v>
      </c>
      <c r="G911" s="1">
        <f t="shared" ref="G911:K911" si="599">G912</f>
        <v>8.2961696869963344</v>
      </c>
      <c r="H911" s="1">
        <f t="shared" si="599"/>
        <v>9.6268647419586877</v>
      </c>
      <c r="I911" s="1">
        <f t="shared" si="599"/>
        <v>8.2557407573467945</v>
      </c>
      <c r="J911" s="1">
        <f t="shared" si="599"/>
        <v>4.3336864611210206</v>
      </c>
      <c r="K911" s="1">
        <f t="shared" si="599"/>
        <v>1.7891525154500445</v>
      </c>
    </row>
    <row r="912" spans="2:11" x14ac:dyDescent="0.25">
      <c r="B912" s="5" t="str">
        <f t="shared" si="583"/>
        <v>SPS3</v>
      </c>
      <c r="C912" s="5" t="str">
        <f t="shared" si="582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8.5743709335386651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8.2961696869963344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9.6268647419586877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8.2557407573467945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4.3336864611210206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1.7891525154500445</v>
      </c>
    </row>
    <row r="913" spans="2:12" x14ac:dyDescent="0.25">
      <c r="B913" s="5" t="str">
        <f t="shared" si="583"/>
        <v>SPS3</v>
      </c>
      <c r="C913" s="5" t="str">
        <f t="shared" si="582"/>
        <v>CH</v>
      </c>
      <c r="D913" t="s">
        <v>974</v>
      </c>
      <c r="E913" t="s">
        <v>8</v>
      </c>
      <c r="F913" s="1">
        <f>F914</f>
        <v>2.085636203332542</v>
      </c>
      <c r="G913" s="1">
        <f t="shared" ref="G913:K913" si="600">G914</f>
        <v>2.4000921429858377</v>
      </c>
      <c r="H913" s="1">
        <f t="shared" si="600"/>
        <v>0.28621888394374079</v>
      </c>
      <c r="I913" s="1">
        <f t="shared" si="600"/>
        <v>0.25403278952821806</v>
      </c>
      <c r="J913" s="1">
        <f t="shared" si="600"/>
        <v>0.13448840500234571</v>
      </c>
      <c r="K913" s="1">
        <f t="shared" si="600"/>
        <v>4.538862079517577E-2</v>
      </c>
    </row>
    <row r="914" spans="2:12" x14ac:dyDescent="0.25">
      <c r="B914" s="5" t="str">
        <f t="shared" si="583"/>
        <v>SPS3</v>
      </c>
      <c r="C914" s="5" t="str">
        <f t="shared" si="582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2.085636203332542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2.4000921429858377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0.28621888394374079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0.25403278952821806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0.13448840500234571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4.538862079517577E-2</v>
      </c>
    </row>
    <row r="915" spans="2:12" x14ac:dyDescent="0.25">
      <c r="B915" s="5" t="str">
        <f t="shared" si="583"/>
        <v>SPS3</v>
      </c>
      <c r="C915" s="5" t="str">
        <f t="shared" si="582"/>
        <v>CH</v>
      </c>
      <c r="D915" t="s">
        <v>976</v>
      </c>
      <c r="E915" t="s">
        <v>8</v>
      </c>
      <c r="F915" s="1">
        <f>F916</f>
        <v>0.62699619610892676</v>
      </c>
      <c r="G915" s="1">
        <f t="shared" ref="G915:K915" si="601">G916</f>
        <v>0.68733634538290822</v>
      </c>
      <c r="H915" s="1">
        <f t="shared" si="601"/>
        <v>0.55865361244247658</v>
      </c>
      <c r="I915" s="1">
        <f t="shared" si="601"/>
        <v>0.80650740945830168</v>
      </c>
      <c r="J915" s="1">
        <f t="shared" si="601"/>
        <v>1.1662652882050146</v>
      </c>
      <c r="K915" s="1">
        <f t="shared" si="601"/>
        <v>1.3447868745099547</v>
      </c>
    </row>
    <row r="916" spans="2:12" x14ac:dyDescent="0.25">
      <c r="B916" s="5" t="str">
        <f t="shared" si="583"/>
        <v>SPS3</v>
      </c>
      <c r="C916" s="5" t="str">
        <f t="shared" si="582"/>
        <v>CH</v>
      </c>
      <c r="D916" t="s">
        <v>977</v>
      </c>
      <c r="E916" t="s">
        <v>8</v>
      </c>
      <c r="F916" s="1">
        <f>[1]Services!B$19</f>
        <v>0.62699619610892676</v>
      </c>
      <c r="G916" s="1">
        <f>[1]Services!C$19</f>
        <v>0.68733634538290822</v>
      </c>
      <c r="H916" s="1">
        <f>[1]Services!D$19</f>
        <v>0.55865361244247658</v>
      </c>
      <c r="I916" s="1">
        <f>[1]Services!E$19</f>
        <v>0.80650740945830168</v>
      </c>
      <c r="J916" s="1">
        <f>[1]Services!F$19</f>
        <v>1.1662652882050146</v>
      </c>
      <c r="K916" s="1">
        <f>[1]Services!G$19</f>
        <v>1.3447868745099547</v>
      </c>
    </row>
    <row r="917" spans="2:12" x14ac:dyDescent="0.25">
      <c r="B917" s="5" t="str">
        <f t="shared" si="583"/>
        <v>SPS3</v>
      </c>
      <c r="C917" s="5" t="str">
        <f t="shared" si="582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1.2923004752416558E-2</v>
      </c>
      <c r="I917" s="1">
        <f>[1]Services!E$20</f>
        <v>0.45828528162861687</v>
      </c>
      <c r="J917" s="1">
        <f>[1]Services!F$20</f>
        <v>1.493232142500684E-4</v>
      </c>
      <c r="K917" s="1">
        <f>[1]Services!G$20</f>
        <v>7.7366444694310322E-3</v>
      </c>
    </row>
    <row r="918" spans="2:12" x14ac:dyDescent="0.25">
      <c r="B918" s="5" t="str">
        <f t="shared" si="583"/>
        <v>SPS3</v>
      </c>
      <c r="C918" s="5" t="str">
        <f t="shared" si="582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02">G917-G919</f>
        <v>0</v>
      </c>
      <c r="H918" s="1">
        <f t="shared" si="602"/>
        <v>0</v>
      </c>
      <c r="I918" s="1">
        <f t="shared" si="602"/>
        <v>0</v>
      </c>
      <c r="J918" s="1">
        <f t="shared" si="602"/>
        <v>0</v>
      </c>
      <c r="K918" s="1">
        <f t="shared" si="602"/>
        <v>0</v>
      </c>
    </row>
    <row r="919" spans="2:12" x14ac:dyDescent="0.25">
      <c r="B919" s="5" t="str">
        <f t="shared" si="583"/>
        <v>SPS3</v>
      </c>
      <c r="C919" s="5" t="str">
        <f t="shared" si="582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03">G920</f>
        <v>0</v>
      </c>
      <c r="H919" s="1">
        <f t="shared" si="603"/>
        <v>1.2923004752416558E-2</v>
      </c>
      <c r="I919" s="1">
        <f t="shared" si="603"/>
        <v>0.45828528162861687</v>
      </c>
      <c r="J919" s="1">
        <f t="shared" si="603"/>
        <v>1.493232142500684E-4</v>
      </c>
      <c r="K919" s="1">
        <f t="shared" si="603"/>
        <v>7.7366444694310322E-3</v>
      </c>
    </row>
    <row r="920" spans="2:12" x14ac:dyDescent="0.25">
      <c r="B920" s="5" t="str">
        <f t="shared" si="583"/>
        <v>SPS3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1.2923004752416558E-2</v>
      </c>
      <c r="I920" s="1">
        <f>[1]Services!E$20</f>
        <v>0.45828528162861687</v>
      </c>
      <c r="J920" s="1">
        <f>[1]Services!F$20</f>
        <v>1.493232142500684E-4</v>
      </c>
      <c r="K920" s="1">
        <f>[1]Services!G$20</f>
        <v>7.7366444694310322E-3</v>
      </c>
    </row>
    <row r="921" spans="2:12" x14ac:dyDescent="0.25">
      <c r="B921" s="5" t="str">
        <f t="shared" si="583"/>
        <v>SPS3</v>
      </c>
      <c r="C921" s="5" t="str">
        <f t="shared" si="582"/>
        <v>CH</v>
      </c>
      <c r="D921" t="s">
        <v>980</v>
      </c>
      <c r="E921" t="s">
        <v>8</v>
      </c>
      <c r="F921" s="1">
        <f>F922</f>
        <v>2.9295878828450688</v>
      </c>
      <c r="G921" s="1">
        <f t="shared" ref="G921:K921" si="604">G922</f>
        <v>3.1924517897406703</v>
      </c>
      <c r="H921" s="1">
        <f t="shared" si="604"/>
        <v>4.0651860760288345</v>
      </c>
      <c r="I921" s="1">
        <f t="shared" si="604"/>
        <v>10.735445204665961</v>
      </c>
      <c r="J921" s="1">
        <f t="shared" si="604"/>
        <v>19.364164341762457</v>
      </c>
      <c r="K921" s="1">
        <f t="shared" si="604"/>
        <v>19.490753196995954</v>
      </c>
    </row>
    <row r="922" spans="2:12" x14ac:dyDescent="0.25">
      <c r="B922" s="5" t="str">
        <f t="shared" si="583"/>
        <v>SPS3</v>
      </c>
      <c r="C922" s="5" t="str">
        <f t="shared" si="582"/>
        <v>CH</v>
      </c>
      <c r="D922" t="s">
        <v>981</v>
      </c>
      <c r="E922" t="s">
        <v>8</v>
      </c>
      <c r="F922" s="1">
        <f>[1]Services!B$21-F923</f>
        <v>2.9295878828450688</v>
      </c>
      <c r="G922" s="1">
        <f>[1]Services!C$21-G923</f>
        <v>3.1924517897406703</v>
      </c>
      <c r="H922" s="1">
        <f>[1]Services!D$21-H923</f>
        <v>4.0651860760288345</v>
      </c>
      <c r="I922" s="1">
        <f>[1]Services!E$21-I923</f>
        <v>10.735445204665961</v>
      </c>
      <c r="J922" s="1">
        <f>[1]Services!F$21-J923</f>
        <v>19.364164341762457</v>
      </c>
      <c r="K922" s="1">
        <f>[1]Services!G$21-K923</f>
        <v>19.490753196995954</v>
      </c>
    </row>
    <row r="923" spans="2:12" x14ac:dyDescent="0.25">
      <c r="B923" s="5" t="str">
        <f t="shared" si="583"/>
        <v>SPS3</v>
      </c>
      <c r="C923" s="5" t="str">
        <f t="shared" ref="C923" si="605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1.030168515703646</v>
      </c>
      <c r="I923" s="1">
        <f>[1]Services!E$50-I894</f>
        <v>2.2251164769338008</v>
      </c>
      <c r="J923" s="1">
        <f>[1]Services!F$50-J894</f>
        <v>3.5955896521779858</v>
      </c>
      <c r="K923" s="1">
        <f>[1]Services!G$50-K894</f>
        <v>3.2021628791683194</v>
      </c>
    </row>
    <row r="924" spans="2:12" x14ac:dyDescent="0.25">
      <c r="B924" s="9" t="str">
        <f t="shared" si="583"/>
        <v>SPS3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73.238355443189334</v>
      </c>
      <c r="G924" s="17">
        <f>[1]Services!C$59</f>
        <v>78.574066248222834</v>
      </c>
      <c r="H924" s="17">
        <f>[1]Services!D$59</f>
        <v>61.520732804445252</v>
      </c>
      <c r="I924" s="17">
        <f>[1]Services!E$59</f>
        <v>60.178137157804322</v>
      </c>
      <c r="J924" s="17">
        <f>[1]Services!F$59</f>
        <v>58.389556939185759</v>
      </c>
      <c r="K924" s="17">
        <f>[1]Services!G$59</f>
        <v>56.312073625019721</v>
      </c>
    </row>
    <row r="925" spans="2:12" x14ac:dyDescent="0.25">
      <c r="B925" s="5" t="str">
        <f t="shared" si="583"/>
        <v>SPS3</v>
      </c>
      <c r="C925" s="5" t="str">
        <f>C924</f>
        <v>CH</v>
      </c>
      <c r="D925" t="s">
        <v>983</v>
      </c>
      <c r="E925" t="s">
        <v>8</v>
      </c>
      <c r="F925" s="1">
        <f>SUM(F926:F928)</f>
        <v>63.65003451914869</v>
      </c>
      <c r="G925" s="1">
        <f t="shared" ref="G925:K925" si="606">SUM(G926:G928)</f>
        <v>63.542508748024318</v>
      </c>
      <c r="H925" s="1">
        <f t="shared" si="606"/>
        <v>61.245433338941382</v>
      </c>
      <c r="I925" s="1">
        <f t="shared" si="606"/>
        <v>66.882902191158564</v>
      </c>
      <c r="J925" s="1">
        <f t="shared" si="606"/>
        <v>73.025243632724383</v>
      </c>
      <c r="K925" s="1">
        <f t="shared" si="606"/>
        <v>67.491960647493954</v>
      </c>
    </row>
    <row r="926" spans="2:12" x14ac:dyDescent="0.25">
      <c r="B926" s="5" t="str">
        <f t="shared" si="583"/>
        <v>SPS3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2.3940412055525084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0.22295989898469099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0.48750187366978226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0.2870188338236449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0.19847276946613002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0.13941186445690801</v>
      </c>
    </row>
    <row r="927" spans="2:12" x14ac:dyDescent="0.25">
      <c r="B927" s="5" t="str">
        <f t="shared" si="583"/>
        <v>SPS3</v>
      </c>
      <c r="C927" s="5" t="str">
        <f t="shared" ref="C927:C930" si="607">C926</f>
        <v>CH</v>
      </c>
      <c r="D927" t="s">
        <v>729</v>
      </c>
      <c r="E927" t="s">
        <v>8</v>
      </c>
      <c r="F927" s="1">
        <f>[1]Services!B$47</f>
        <v>4.2612187386837377</v>
      </c>
      <c r="G927" s="1">
        <f>[1]Services!C$47</f>
        <v>4.6176534815891861</v>
      </c>
      <c r="H927" s="1">
        <f>[1]Services!D$47</f>
        <v>6.1208938377760518</v>
      </c>
      <c r="I927" s="1">
        <f>[1]Services!E$47</f>
        <v>15.337583571368025</v>
      </c>
      <c r="J927" s="1">
        <f>[1]Services!F$47</f>
        <v>26.672633499045435</v>
      </c>
      <c r="K927" s="1">
        <f>[1]Services!G$47</f>
        <v>26.244106879567738</v>
      </c>
    </row>
    <row r="928" spans="2:12" x14ac:dyDescent="0.25">
      <c r="B928" s="5" t="str">
        <f t="shared" si="583"/>
        <v>SPS3</v>
      </c>
      <c r="C928" s="5" t="str">
        <f t="shared" si="607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58.70189536745044</v>
      </c>
      <c r="H928" s="1">
        <f>[1]Services!D$3-([1]Services!D$6-[1]Services!D$58)</f>
        <v>54.637037627495552</v>
      </c>
      <c r="I928" s="1">
        <f>[1]Services!E$3-([1]Services!E$6-[1]Services!E$58)</f>
        <v>51.258299785966898</v>
      </c>
      <c r="J928" s="1">
        <f>[1]Services!F$3-([1]Services!F$6-[1]Services!F$58)</f>
        <v>46.154137364212815</v>
      </c>
      <c r="K928" s="1">
        <f>[1]Services!G$3-([1]Services!G$6-[1]Services!G$58)</f>
        <v>41.108441903469313</v>
      </c>
      <c r="L928" s="1"/>
    </row>
    <row r="929" spans="2:11" x14ac:dyDescent="0.25">
      <c r="B929" s="5" t="str">
        <f t="shared" si="583"/>
        <v>SPS3</v>
      </c>
      <c r="C929" s="5" t="str">
        <f t="shared" si="607"/>
        <v>CH</v>
      </c>
      <c r="D929" t="s">
        <v>1041</v>
      </c>
      <c r="E929" t="s">
        <v>8</v>
      </c>
      <c r="F929" s="1">
        <f>F930</f>
        <v>24.843071828561985</v>
      </c>
      <c r="G929" s="1">
        <f t="shared" ref="G929:K929" si="608">G930</f>
        <v>20.841933210187904</v>
      </c>
      <c r="H929" s="1">
        <f t="shared" si="608"/>
        <v>19.279992613135196</v>
      </c>
      <c r="I929" s="1">
        <f t="shared" si="608"/>
        <v>10.022013964569531</v>
      </c>
      <c r="J929" s="1">
        <f t="shared" si="608"/>
        <v>1.9343196682658867</v>
      </c>
      <c r="K929" s="1">
        <f t="shared" si="608"/>
        <v>6.5069620268638981E-2</v>
      </c>
    </row>
    <row r="930" spans="2:11" x14ac:dyDescent="0.25">
      <c r="B930" s="5" t="str">
        <f t="shared" si="583"/>
        <v>SPS3</v>
      </c>
      <c r="C930" s="5" t="str">
        <f t="shared" si="607"/>
        <v>CH</v>
      </c>
      <c r="D930" t="s">
        <v>1042</v>
      </c>
      <c r="E930" t="s">
        <v>8</v>
      </c>
      <c r="F930" s="1">
        <f>[1]Services!B$48</f>
        <v>24.843071828561985</v>
      </c>
      <c r="G930" s="1">
        <f>[1]Services!C$48</f>
        <v>20.841933210187904</v>
      </c>
      <c r="H930" s="1">
        <f>[1]Services!D$48</f>
        <v>19.279992613135196</v>
      </c>
      <c r="I930" s="1">
        <f>[1]Services!E$48</f>
        <v>10.022013964569531</v>
      </c>
      <c r="J930" s="1">
        <f>[1]Services!F$48</f>
        <v>1.9343196682658867</v>
      </c>
      <c r="K930" s="1">
        <f>[1]Services!G$48</f>
        <v>6.5069620268638981E-2</v>
      </c>
    </row>
    <row r="931" spans="2:11" x14ac:dyDescent="0.25">
      <c r="B931" s="5" t="str">
        <f t="shared" si="583"/>
        <v>SPS3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25.41278446571442</v>
      </c>
      <c r="G931" s="1">
        <f t="shared" ref="G931:K931" si="609">SUM(G932:G934)</f>
        <v>26.667689094138002</v>
      </c>
      <c r="H931" s="1">
        <f t="shared" si="609"/>
        <v>20.309617295036087</v>
      </c>
      <c r="I931" s="1">
        <f t="shared" si="609"/>
        <v>15.708075514459436</v>
      </c>
      <c r="J931" s="1">
        <f t="shared" si="609"/>
        <v>8.5105381220551557</v>
      </c>
      <c r="K931" s="1">
        <f t="shared" si="609"/>
        <v>6.3036301075496697</v>
      </c>
    </row>
    <row r="932" spans="2:11" x14ac:dyDescent="0.25">
      <c r="B932" s="5" t="str">
        <f t="shared" si="583"/>
        <v>SPS3</v>
      </c>
      <c r="C932" s="5" t="str">
        <f t="shared" ref="C932:C951" si="610">C931</f>
        <v>CH</v>
      </c>
      <c r="D932" t="s">
        <v>1044</v>
      </c>
      <c r="E932" t="s">
        <v>8</v>
      </c>
      <c r="F932" s="1">
        <f>[1]Services!B$49</f>
        <v>24.189716743602261</v>
      </c>
      <c r="G932" s="1">
        <f>[1]Services!C$49</f>
        <v>25.326921513210717</v>
      </c>
      <c r="H932" s="1">
        <f>[1]Services!D$49</f>
        <v>18.182416815545189</v>
      </c>
      <c r="I932" s="1">
        <f>[1]Services!E$49</f>
        <v>11.397224815994248</v>
      </c>
      <c r="J932" s="1">
        <f>[1]Services!F$49</f>
        <v>1.9313171475499256</v>
      </c>
      <c r="K932" s="1">
        <f>[1]Services!G$49</f>
        <v>0.82387843011120787</v>
      </c>
    </row>
    <row r="933" spans="2:11" x14ac:dyDescent="0.25">
      <c r="B933" s="5" t="str">
        <f t="shared" si="583"/>
        <v>SPS3</v>
      </c>
      <c r="C933" s="5" t="str">
        <f t="shared" ref="C933" si="611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2.1272004794909001</v>
      </c>
      <c r="I933" s="1">
        <f>[1]Services!E$50</f>
        <v>4.3108506984651882</v>
      </c>
      <c r="J933" s="1">
        <f>[1]Services!F$50</f>
        <v>6.5792209745052297</v>
      </c>
      <c r="K933" s="1">
        <f>[1]Services!G$50</f>
        <v>5.479751677438462</v>
      </c>
    </row>
    <row r="934" spans="2:11" x14ac:dyDescent="0.25">
      <c r="B934" s="5" t="str">
        <f t="shared" si="583"/>
        <v>SPS3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1.2230677221121578</v>
      </c>
      <c r="G934" s="1">
        <f>[1]Services!C$56</f>
        <v>1.3407675809272852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25">
      <c r="B935" s="5" t="str">
        <f t="shared" si="583"/>
        <v>SPS3</v>
      </c>
      <c r="C935" s="5" t="str">
        <f t="shared" si="610"/>
        <v>CH</v>
      </c>
      <c r="D935" t="s">
        <v>984</v>
      </c>
      <c r="E935" t="s">
        <v>8</v>
      </c>
      <c r="F935" s="1">
        <f>F936+F942</f>
        <v>7.6496233534206244</v>
      </c>
      <c r="G935" s="1">
        <f t="shared" ref="G935:K935" si="612">G936+G942</f>
        <v>8.286001789090351</v>
      </c>
      <c r="H935" s="1">
        <f t="shared" si="612"/>
        <v>5.6545902971142619</v>
      </c>
      <c r="I935" s="1">
        <f t="shared" si="612"/>
        <v>6.8875760159332504</v>
      </c>
      <c r="J935" s="1">
        <f t="shared" si="612"/>
        <v>6.7414435002419273</v>
      </c>
      <c r="K935" s="1">
        <f t="shared" si="612"/>
        <v>5.7519491176481576</v>
      </c>
    </row>
    <row r="936" spans="2:11" x14ac:dyDescent="0.25">
      <c r="B936" s="5" t="str">
        <f t="shared" si="583"/>
        <v>SPS3</v>
      </c>
      <c r="C936" s="5" t="str">
        <f t="shared" si="610"/>
        <v>CH</v>
      </c>
      <c r="D936" t="s">
        <v>985</v>
      </c>
      <c r="E936" t="s">
        <v>8</v>
      </c>
      <c r="F936" s="1">
        <f>[1]Services!B$51</f>
        <v>2.0957194614069143</v>
      </c>
      <c r="G936" s="1">
        <f>[1]Services!C$51</f>
        <v>2.2700638672260744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25">
      <c r="B937" s="5" t="str">
        <f t="shared" si="583"/>
        <v>SPS3</v>
      </c>
      <c r="C937" s="5" t="str">
        <f t="shared" si="610"/>
        <v>CH</v>
      </c>
      <c r="D937" t="s">
        <v>692</v>
      </c>
      <c r="E937" t="s">
        <v>8</v>
      </c>
      <c r="F937" s="1">
        <f>IFERROR(F905/F$904,0)*F$936</f>
        <v>1.4100629029531977</v>
      </c>
      <c r="G937" s="1">
        <f t="shared" ref="G937:K937" si="613">IFERROR(G905/G$904,0)*G$936</f>
        <v>1.5272906338214773</v>
      </c>
      <c r="H937" s="1">
        <f t="shared" si="613"/>
        <v>0</v>
      </c>
      <c r="I937" s="1">
        <f t="shared" si="613"/>
        <v>0</v>
      </c>
      <c r="J937" s="1">
        <f t="shared" si="613"/>
        <v>0</v>
      </c>
      <c r="K937" s="1">
        <f t="shared" si="613"/>
        <v>0</v>
      </c>
    </row>
    <row r="938" spans="2:11" x14ac:dyDescent="0.25">
      <c r="B938" s="5" t="str">
        <f t="shared" si="583"/>
        <v>SPS3</v>
      </c>
      <c r="C938" s="5" t="str">
        <f t="shared" si="610"/>
        <v>CH</v>
      </c>
      <c r="D938" t="s">
        <v>693</v>
      </c>
      <c r="E938" t="s">
        <v>8</v>
      </c>
      <c r="F938" s="1">
        <f>IFERROR(F906/F$904,0)*F$936</f>
        <v>0.68565655845371654</v>
      </c>
      <c r="G938" s="1">
        <f t="shared" ref="G938:K941" si="614">IFERROR(G906/G$904,0)*G$936</f>
        <v>0.74277323340459733</v>
      </c>
      <c r="H938" s="1">
        <f t="shared" si="614"/>
        <v>0</v>
      </c>
      <c r="I938" s="1">
        <f t="shared" si="614"/>
        <v>0</v>
      </c>
      <c r="J938" s="1">
        <f t="shared" si="614"/>
        <v>0</v>
      </c>
      <c r="K938" s="1">
        <f t="shared" si="614"/>
        <v>0</v>
      </c>
    </row>
    <row r="939" spans="2:11" x14ac:dyDescent="0.25">
      <c r="B939" s="5" t="str">
        <f t="shared" si="583"/>
        <v>SPS3</v>
      </c>
      <c r="C939" s="5" t="str">
        <f t="shared" si="610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14"/>
        <v>0</v>
      </c>
      <c r="H939" s="1">
        <f t="shared" si="614"/>
        <v>0</v>
      </c>
      <c r="I939" s="1">
        <f t="shared" si="614"/>
        <v>0</v>
      </c>
      <c r="J939" s="1">
        <f t="shared" si="614"/>
        <v>0</v>
      </c>
      <c r="K939" s="1">
        <f t="shared" si="614"/>
        <v>0</v>
      </c>
    </row>
    <row r="940" spans="2:11" x14ac:dyDescent="0.25">
      <c r="B940" s="5" t="str">
        <f t="shared" si="583"/>
        <v>SPS3</v>
      </c>
      <c r="C940" s="5" t="str">
        <f t="shared" si="610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14"/>
        <v>0</v>
      </c>
      <c r="H940" s="1">
        <f t="shared" si="614"/>
        <v>0</v>
      </c>
      <c r="I940" s="1">
        <f t="shared" si="614"/>
        <v>0</v>
      </c>
      <c r="J940" s="1">
        <f t="shared" si="614"/>
        <v>0</v>
      </c>
      <c r="K940" s="1">
        <f t="shared" si="614"/>
        <v>0</v>
      </c>
    </row>
    <row r="941" spans="2:11" x14ac:dyDescent="0.25">
      <c r="B941" s="5" t="str">
        <f t="shared" si="583"/>
        <v>SPS3</v>
      </c>
      <c r="C941" s="5" t="str">
        <f t="shared" si="610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14"/>
        <v>0</v>
      </c>
      <c r="H941" s="1">
        <f t="shared" si="614"/>
        <v>0</v>
      </c>
      <c r="I941" s="1">
        <f t="shared" si="614"/>
        <v>0</v>
      </c>
      <c r="J941" s="1">
        <f t="shared" si="614"/>
        <v>0</v>
      </c>
      <c r="K941" s="1">
        <f t="shared" si="614"/>
        <v>0</v>
      </c>
    </row>
    <row r="942" spans="2:11" x14ac:dyDescent="0.25">
      <c r="B942" s="5" t="str">
        <f t="shared" si="583"/>
        <v>SPS3</v>
      </c>
      <c r="C942" s="5" t="str">
        <f t="shared" si="610"/>
        <v>CH</v>
      </c>
      <c r="D942" t="s">
        <v>986</v>
      </c>
      <c r="E942" t="s">
        <v>8</v>
      </c>
      <c r="F942" s="1">
        <f>[1]Services!B$52</f>
        <v>5.55390389201371</v>
      </c>
      <c r="G942" s="1">
        <f>[1]Services!C$52</f>
        <v>6.0159379218642766</v>
      </c>
      <c r="H942" s="1">
        <f>[1]Services!D$52</f>
        <v>5.6545902971142619</v>
      </c>
      <c r="I942" s="1">
        <f>[1]Services!E$52</f>
        <v>6.8875760159332504</v>
      </c>
      <c r="J942" s="1">
        <f>[1]Services!F$52</f>
        <v>6.7414435002419273</v>
      </c>
      <c r="K942" s="1">
        <f>[1]Services!G$52</f>
        <v>5.7519491176481576</v>
      </c>
    </row>
    <row r="943" spans="2:11" x14ac:dyDescent="0.25">
      <c r="B943" s="5" t="str">
        <f t="shared" si="583"/>
        <v>SPS3</v>
      </c>
      <c r="C943" s="5" t="str">
        <f t="shared" si="610"/>
        <v>CH</v>
      </c>
      <c r="D943" t="s">
        <v>987</v>
      </c>
      <c r="E943" t="s">
        <v>8</v>
      </c>
      <c r="F943" s="1">
        <f>F944</f>
        <v>6.1735470721478336</v>
      </c>
      <c r="G943" s="1">
        <f t="shared" ref="G943:K943" si="615">G944</f>
        <v>5.9732421746373658</v>
      </c>
      <c r="H943" s="1">
        <f t="shared" si="615"/>
        <v>6.4896895008100994</v>
      </c>
      <c r="I943" s="1">
        <f t="shared" si="615"/>
        <v>5.5653834919740071</v>
      </c>
      <c r="J943" s="1">
        <f t="shared" si="615"/>
        <v>2.9214370701564256</v>
      </c>
      <c r="K943" s="1">
        <f t="shared" si="615"/>
        <v>1.2769121992081476</v>
      </c>
    </row>
    <row r="944" spans="2:11" x14ac:dyDescent="0.25">
      <c r="B944" s="5" t="str">
        <f t="shared" si="583"/>
        <v>SPS3</v>
      </c>
      <c r="C944" s="5" t="str">
        <f t="shared" si="610"/>
        <v>CH</v>
      </c>
      <c r="D944" t="s">
        <v>988</v>
      </c>
      <c r="E944" t="s">
        <v>8</v>
      </c>
      <c r="F944" s="1">
        <f>[1]Services!B$53</f>
        <v>6.1735470721478336</v>
      </c>
      <c r="G944" s="1">
        <f>[1]Services!C$53</f>
        <v>5.9732421746373658</v>
      </c>
      <c r="H944" s="1">
        <f>[1]Services!D$53</f>
        <v>6.4896895008100994</v>
      </c>
      <c r="I944" s="1">
        <f>[1]Services!E$53</f>
        <v>5.5653834919740071</v>
      </c>
      <c r="J944" s="1">
        <f>[1]Services!F$53</f>
        <v>2.9214370701564256</v>
      </c>
      <c r="K944" s="1">
        <f>[1]Services!G$53</f>
        <v>1.2769121992081476</v>
      </c>
    </row>
    <row r="945" spans="2:11" x14ac:dyDescent="0.25">
      <c r="B945" s="5" t="str">
        <f t="shared" si="583"/>
        <v>SPS3</v>
      </c>
      <c r="C945" s="5" t="str">
        <f t="shared" si="610"/>
        <v>CH</v>
      </c>
      <c r="D945" t="s">
        <v>989</v>
      </c>
      <c r="E945" t="s">
        <v>8</v>
      </c>
      <c r="F945" s="1">
        <f>F946</f>
        <v>1.877072582999288</v>
      </c>
      <c r="G945" s="1">
        <f t="shared" ref="G945:K945" si="616">G946</f>
        <v>2.1600829286872552</v>
      </c>
      <c r="H945" s="1">
        <f t="shared" si="616"/>
        <v>0.18842554703360778</v>
      </c>
      <c r="I945" s="1">
        <f t="shared" si="616"/>
        <v>0.16723658017175563</v>
      </c>
      <c r="J945" s="1">
        <f t="shared" si="616"/>
        <v>8.8537314285752677E-2</v>
      </c>
      <c r="K945" s="1">
        <f t="shared" si="616"/>
        <v>3.1466126322158637E-2</v>
      </c>
    </row>
    <row r="946" spans="2:11" x14ac:dyDescent="0.25">
      <c r="B946" s="5" t="str">
        <f t="shared" si="583"/>
        <v>SPS3</v>
      </c>
      <c r="C946" s="5" t="str">
        <f t="shared" si="610"/>
        <v>CH</v>
      </c>
      <c r="D946" t="s">
        <v>990</v>
      </c>
      <c r="E946" t="s">
        <v>8</v>
      </c>
      <c r="F946" s="1">
        <f>[1]Services!B$54</f>
        <v>1.877072582999288</v>
      </c>
      <c r="G946" s="1">
        <f>[1]Services!C$54</f>
        <v>2.1600829286872552</v>
      </c>
      <c r="H946" s="1">
        <f>[1]Services!D$54</f>
        <v>0.18842554703360778</v>
      </c>
      <c r="I946" s="1">
        <f>[1]Services!E$54</f>
        <v>0.16723658017175563</v>
      </c>
      <c r="J946" s="1">
        <f>[1]Services!F$54</f>
        <v>8.8537314285752677E-2</v>
      </c>
      <c r="K946" s="1">
        <f>[1]Services!G$54</f>
        <v>3.1466126322158637E-2</v>
      </c>
    </row>
    <row r="947" spans="2:11" x14ac:dyDescent="0.25">
      <c r="B947" s="5" t="str">
        <f t="shared" si="583"/>
        <v>SPS3</v>
      </c>
      <c r="C947" s="5" t="str">
        <f t="shared" si="610"/>
        <v>CH</v>
      </c>
      <c r="D947" t="s">
        <v>991</v>
      </c>
      <c r="E947" t="s">
        <v>8</v>
      </c>
      <c r="F947" s="1">
        <f>F948</f>
        <v>0.62699619610892676</v>
      </c>
      <c r="G947" s="1">
        <f t="shared" ref="G947:K947" si="617">G948</f>
        <v>0.68733634538290822</v>
      </c>
      <c r="H947" s="1">
        <f t="shared" si="617"/>
        <v>0.55865361244247658</v>
      </c>
      <c r="I947" s="1">
        <f t="shared" si="617"/>
        <v>0.80650740945830168</v>
      </c>
      <c r="J947" s="1">
        <f t="shared" si="617"/>
        <v>1.1662652882050146</v>
      </c>
      <c r="K947" s="1">
        <f t="shared" si="617"/>
        <v>1.3447868745099547</v>
      </c>
    </row>
    <row r="948" spans="2:11" x14ac:dyDescent="0.25">
      <c r="B948" s="5" t="str">
        <f t="shared" ref="B948:B1011" si="618">B947</f>
        <v>SPS3</v>
      </c>
      <c r="C948" s="5" t="str">
        <f t="shared" si="610"/>
        <v>CH</v>
      </c>
      <c r="D948" t="s">
        <v>992</v>
      </c>
      <c r="E948" t="s">
        <v>8</v>
      </c>
      <c r="F948" s="1">
        <f>[1]Services!B$55</f>
        <v>0.62699619610892676</v>
      </c>
      <c r="G948" s="1">
        <f>[1]Services!C$55</f>
        <v>0.68733634538290822</v>
      </c>
      <c r="H948" s="1">
        <f>[1]Services!D$55</f>
        <v>0.55865361244247658</v>
      </c>
      <c r="I948" s="1">
        <f>[1]Services!E$55</f>
        <v>0.80650740945830168</v>
      </c>
      <c r="J948" s="1">
        <f>[1]Services!F$55</f>
        <v>1.1662652882050146</v>
      </c>
      <c r="K948" s="1">
        <f>[1]Services!G$55</f>
        <v>1.3447868745099547</v>
      </c>
    </row>
    <row r="949" spans="2:11" x14ac:dyDescent="0.25">
      <c r="B949" s="5" t="str">
        <f t="shared" si="618"/>
        <v>SPS3</v>
      </c>
      <c r="C949" s="5" t="str">
        <f t="shared" si="610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19">G950</f>
        <v>0</v>
      </c>
      <c r="H949" s="1">
        <f t="shared" si="619"/>
        <v>0</v>
      </c>
      <c r="I949" s="1">
        <f t="shared" si="619"/>
        <v>0</v>
      </c>
      <c r="J949" s="1">
        <f t="shared" si="619"/>
        <v>0</v>
      </c>
      <c r="K949" s="1">
        <f t="shared" si="619"/>
        <v>0</v>
      </c>
    </row>
    <row r="950" spans="2:11" x14ac:dyDescent="0.25">
      <c r="B950" s="5" t="str">
        <f t="shared" si="618"/>
        <v>SPS3</v>
      </c>
      <c r="C950" s="5" t="str">
        <f t="shared" si="610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25">
      <c r="B951" s="5" t="str">
        <f t="shared" si="618"/>
        <v>SPS3</v>
      </c>
      <c r="C951" s="5" t="str">
        <f t="shared" si="610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9.1171673255251662</v>
      </c>
      <c r="H951" s="1">
        <f>[1]Services!D$58</f>
        <v>2.4313682274276847</v>
      </c>
      <c r="I951" s="1">
        <f>[1]Services!E$58</f>
        <v>5.3967417760463743</v>
      </c>
      <c r="J951" s="1">
        <f>[1]Services!F$58</f>
        <v>10.155909707464026</v>
      </c>
      <c r="K951" s="1">
        <f>[1]Services!G$58</f>
        <v>15.154740835488345</v>
      </c>
    </row>
    <row r="952" spans="2:11" x14ac:dyDescent="0.25">
      <c r="B952" s="5" t="str">
        <f t="shared" si="618"/>
        <v>SPS3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si="618"/>
        <v>SPS3</v>
      </c>
      <c r="C953" s="5" t="str">
        <f t="shared" ref="C953:C969" si="620">C952</f>
        <v>CH</v>
      </c>
      <c r="D953" t="s">
        <v>761</v>
      </c>
      <c r="E953" t="s">
        <v>240</v>
      </c>
      <c r="F953" s="4">
        <f t="shared" ref="F953:K955" si="621">IFERROR(F926/F882,"-")</f>
        <v>0.91250000000000042</v>
      </c>
      <c r="G953" s="4">
        <f t="shared" si="621"/>
        <v>0.91500000000000059</v>
      </c>
      <c r="H953" s="4">
        <f t="shared" si="621"/>
        <v>0.47424225933992009</v>
      </c>
      <c r="I953" s="4">
        <f t="shared" si="621"/>
        <v>0.49621097424988908</v>
      </c>
      <c r="J953" s="4">
        <f t="shared" si="621"/>
        <v>0.51146780380225609</v>
      </c>
      <c r="K953" s="4">
        <f t="shared" si="621"/>
        <v>0.52874000083516348</v>
      </c>
    </row>
    <row r="954" spans="2:11" x14ac:dyDescent="0.25">
      <c r="B954" s="5" t="str">
        <f t="shared" si="618"/>
        <v>SPS3</v>
      </c>
      <c r="C954" s="5" t="str">
        <f t="shared" si="620"/>
        <v>CH</v>
      </c>
      <c r="D954" t="s">
        <v>730</v>
      </c>
      <c r="E954" t="s">
        <v>240</v>
      </c>
      <c r="F954" s="4">
        <f t="shared" si="621"/>
        <v>3.1999999999999975</v>
      </c>
      <c r="G954" s="4">
        <f t="shared" si="621"/>
        <v>3.2399999999999967</v>
      </c>
      <c r="H954" s="4">
        <f t="shared" si="621"/>
        <v>2.9775116637073396</v>
      </c>
      <c r="I954" s="4">
        <f t="shared" si="621"/>
        <v>3.3327080477067623</v>
      </c>
      <c r="J954" s="4">
        <f t="shared" si="621"/>
        <v>3.6495513526886598</v>
      </c>
      <c r="K954" s="4">
        <f t="shared" si="621"/>
        <v>3.8860850642689222</v>
      </c>
    </row>
    <row r="955" spans="2:11" x14ac:dyDescent="0.25">
      <c r="B955" s="5" t="str">
        <f t="shared" si="618"/>
        <v>SPS3</v>
      </c>
      <c r="C955" s="5" t="str">
        <f t="shared" si="620"/>
        <v>CH</v>
      </c>
      <c r="D955" t="s">
        <v>699</v>
      </c>
      <c r="E955" t="s">
        <v>240</v>
      </c>
      <c r="F955" s="4">
        <f t="shared" si="621"/>
        <v>1</v>
      </c>
      <c r="G955" s="4">
        <f t="shared" si="621"/>
        <v>1</v>
      </c>
      <c r="H955" s="4">
        <f t="shared" si="621"/>
        <v>0.99999999999999989</v>
      </c>
      <c r="I955" s="4">
        <f t="shared" si="621"/>
        <v>1</v>
      </c>
      <c r="J955" s="4">
        <f t="shared" si="621"/>
        <v>1</v>
      </c>
      <c r="K955" s="4">
        <f t="shared" si="621"/>
        <v>1</v>
      </c>
    </row>
    <row r="956" spans="2:11" x14ac:dyDescent="0.25">
      <c r="B956" s="5" t="str">
        <f t="shared" si="618"/>
        <v>SPS3</v>
      </c>
      <c r="C956" s="5" t="str">
        <f t="shared" si="620"/>
        <v>CH</v>
      </c>
      <c r="D956" t="s">
        <v>700</v>
      </c>
      <c r="E956" t="s">
        <v>240</v>
      </c>
      <c r="F956" s="4">
        <f t="shared" ref="F956:K956" si="622">IFERROR(F930/F886,"-")</f>
        <v>0.82107843137254832</v>
      </c>
      <c r="G956" s="4">
        <f t="shared" si="622"/>
        <v>0.82270432925645376</v>
      </c>
      <c r="H956" s="4">
        <f t="shared" si="622"/>
        <v>0.78836433813904117</v>
      </c>
      <c r="I956" s="4">
        <f t="shared" si="622"/>
        <v>0.81661073589439304</v>
      </c>
      <c r="J956" s="4">
        <f t="shared" si="622"/>
        <v>0.81661073589439226</v>
      </c>
      <c r="K956" s="4">
        <f t="shared" si="622"/>
        <v>0.82126460834920911</v>
      </c>
    </row>
    <row r="957" spans="2:11" x14ac:dyDescent="0.25">
      <c r="B957" s="5" t="str">
        <f t="shared" si="618"/>
        <v>SPS3</v>
      </c>
      <c r="C957" s="5" t="str">
        <f t="shared" si="620"/>
        <v>CH</v>
      </c>
      <c r="D957" t="s">
        <v>701</v>
      </c>
      <c r="E957" t="s">
        <v>240</v>
      </c>
      <c r="F957" s="4">
        <f t="shared" ref="F957:K959" si="623">IFERROR(F932/F893,"-")</f>
        <v>0.94680851063829796</v>
      </c>
      <c r="G957" s="4">
        <f t="shared" si="623"/>
        <v>0.94680851063829918</v>
      </c>
      <c r="H957" s="4">
        <f t="shared" si="623"/>
        <v>0.81029079401476445</v>
      </c>
      <c r="I957" s="4">
        <f t="shared" si="623"/>
        <v>0.76900369453694539</v>
      </c>
      <c r="J957" s="4">
        <f t="shared" si="623"/>
        <v>0.37004394135992807</v>
      </c>
      <c r="K957" s="4">
        <f t="shared" si="623"/>
        <v>0.25557982854458661</v>
      </c>
    </row>
    <row r="958" spans="2:11" x14ac:dyDescent="0.25">
      <c r="B958" s="5" t="str">
        <f t="shared" si="618"/>
        <v>SPS3</v>
      </c>
      <c r="C958" s="5" t="str">
        <f t="shared" si="620"/>
        <v>CH</v>
      </c>
      <c r="D958" t="s">
        <v>731</v>
      </c>
      <c r="E958" t="s">
        <v>240</v>
      </c>
      <c r="F958" s="4" t="str">
        <f t="shared" si="623"/>
        <v>-</v>
      </c>
      <c r="G958" s="4" t="str">
        <f t="shared" si="623"/>
        <v>-</v>
      </c>
      <c r="H958" s="4">
        <f t="shared" si="623"/>
        <v>1.9390505926073682</v>
      </c>
      <c r="I958" s="4">
        <f t="shared" si="623"/>
        <v>2.0668264700092402</v>
      </c>
      <c r="J958" s="4">
        <f t="shared" si="623"/>
        <v>2.2051052103090982</v>
      </c>
      <c r="K958" s="4">
        <f t="shared" si="623"/>
        <v>2.4059442519213312</v>
      </c>
    </row>
    <row r="959" spans="2:11" x14ac:dyDescent="0.25">
      <c r="B959" s="5" t="str">
        <f t="shared" si="618"/>
        <v>SPS3</v>
      </c>
      <c r="C959" s="5" t="str">
        <f t="shared" si="620"/>
        <v>CH</v>
      </c>
      <c r="D959" t="s">
        <v>702</v>
      </c>
      <c r="E959" t="s">
        <v>240</v>
      </c>
      <c r="F959" s="4">
        <f t="shared" si="623"/>
        <v>0.87219999999999975</v>
      </c>
      <c r="G959" s="4">
        <f t="shared" si="623"/>
        <v>0.87220000000000109</v>
      </c>
      <c r="H959" s="4" t="str">
        <f t="shared" si="623"/>
        <v>-</v>
      </c>
      <c r="I959" s="4" t="str">
        <f t="shared" si="623"/>
        <v>-</v>
      </c>
      <c r="J959" s="4" t="str">
        <f t="shared" si="623"/>
        <v>-</v>
      </c>
      <c r="K959" s="4" t="str">
        <f t="shared" si="623"/>
        <v>-</v>
      </c>
    </row>
    <row r="960" spans="2:11" x14ac:dyDescent="0.25">
      <c r="B960" s="5" t="str">
        <f t="shared" si="618"/>
        <v>SPS3</v>
      </c>
      <c r="C960" s="5" t="str">
        <f>C959</f>
        <v>CH</v>
      </c>
      <c r="D960" t="s">
        <v>703</v>
      </c>
      <c r="E960" t="s">
        <v>240</v>
      </c>
      <c r="F960" s="4">
        <f t="shared" ref="F960:K965" si="624">IFERROR(F937/F905,"-")</f>
        <v>0.99</v>
      </c>
      <c r="G960" s="4">
        <f t="shared" si="624"/>
        <v>0.99</v>
      </c>
      <c r="H960" s="4">
        <f t="shared" si="624"/>
        <v>0</v>
      </c>
      <c r="I960" s="4">
        <f t="shared" si="624"/>
        <v>0</v>
      </c>
      <c r="J960" s="4">
        <f t="shared" si="624"/>
        <v>0</v>
      </c>
      <c r="K960" s="4">
        <f t="shared" si="624"/>
        <v>0</v>
      </c>
    </row>
    <row r="961" spans="2:11" x14ac:dyDescent="0.25">
      <c r="B961" s="5" t="str">
        <f t="shared" si="618"/>
        <v>SPS3</v>
      </c>
      <c r="C961" s="5" t="str">
        <f t="shared" si="620"/>
        <v>CH</v>
      </c>
      <c r="D961" t="s">
        <v>704</v>
      </c>
      <c r="E961" t="s">
        <v>240</v>
      </c>
      <c r="F961" s="4">
        <f t="shared" si="624"/>
        <v>0.9900000000000001</v>
      </c>
      <c r="G961" s="4">
        <f t="shared" si="624"/>
        <v>0.99</v>
      </c>
      <c r="H961" s="4">
        <f t="shared" si="624"/>
        <v>0</v>
      </c>
      <c r="I961" s="4">
        <f t="shared" si="624"/>
        <v>0</v>
      </c>
      <c r="J961" s="4">
        <f t="shared" si="624"/>
        <v>0</v>
      </c>
      <c r="K961" s="4">
        <f t="shared" si="624"/>
        <v>0</v>
      </c>
    </row>
    <row r="962" spans="2:11" x14ac:dyDescent="0.25">
      <c r="B962" s="5" t="str">
        <f t="shared" si="618"/>
        <v>SPS3</v>
      </c>
      <c r="C962" s="5" t="str">
        <f t="shared" si="620"/>
        <v>CH</v>
      </c>
      <c r="D962" t="s">
        <v>705</v>
      </c>
      <c r="E962" t="s">
        <v>240</v>
      </c>
      <c r="F962" s="4" t="str">
        <f t="shared" si="624"/>
        <v>-</v>
      </c>
      <c r="G962" s="4" t="str">
        <f t="shared" si="624"/>
        <v>-</v>
      </c>
      <c r="H962" s="4" t="str">
        <f t="shared" si="624"/>
        <v>-</v>
      </c>
      <c r="I962" s="4">
        <f t="shared" si="624"/>
        <v>0</v>
      </c>
      <c r="J962" s="4">
        <f t="shared" si="624"/>
        <v>0</v>
      </c>
      <c r="K962" s="4">
        <f t="shared" si="624"/>
        <v>0</v>
      </c>
    </row>
    <row r="963" spans="2:11" x14ac:dyDescent="0.25">
      <c r="B963" s="5" t="str">
        <f t="shared" si="618"/>
        <v>SPS3</v>
      </c>
      <c r="C963" s="5" t="str">
        <f t="shared" si="620"/>
        <v>CH</v>
      </c>
      <c r="D963" t="s">
        <v>706</v>
      </c>
      <c r="E963" t="s">
        <v>240</v>
      </c>
      <c r="F963" s="4" t="str">
        <f t="shared" si="624"/>
        <v>-</v>
      </c>
      <c r="G963" s="4" t="str">
        <f t="shared" si="624"/>
        <v>-</v>
      </c>
      <c r="H963" s="4" t="str">
        <f t="shared" si="624"/>
        <v>-</v>
      </c>
      <c r="I963" s="4">
        <f t="shared" si="624"/>
        <v>0</v>
      </c>
      <c r="J963" s="4">
        <f t="shared" si="624"/>
        <v>0</v>
      </c>
      <c r="K963" s="4">
        <f t="shared" si="624"/>
        <v>0</v>
      </c>
    </row>
    <row r="964" spans="2:11" x14ac:dyDescent="0.25">
      <c r="B964" s="5" t="str">
        <f t="shared" si="618"/>
        <v>SPS3</v>
      </c>
      <c r="C964" s="5" t="str">
        <f t="shared" si="620"/>
        <v>CH</v>
      </c>
      <c r="D964" t="s">
        <v>707</v>
      </c>
      <c r="E964" t="s">
        <v>240</v>
      </c>
      <c r="F964" s="4" t="str">
        <f t="shared" si="624"/>
        <v>-</v>
      </c>
      <c r="G964" s="4" t="str">
        <f t="shared" si="624"/>
        <v>-</v>
      </c>
      <c r="H964" s="4" t="str">
        <f t="shared" si="624"/>
        <v>-</v>
      </c>
      <c r="I964" s="4">
        <f t="shared" si="624"/>
        <v>0</v>
      </c>
      <c r="J964" s="4">
        <f t="shared" si="624"/>
        <v>0</v>
      </c>
      <c r="K964" s="4">
        <f t="shared" si="624"/>
        <v>0</v>
      </c>
    </row>
    <row r="965" spans="2:11" x14ac:dyDescent="0.25">
      <c r="B965" s="5" t="str">
        <f t="shared" si="618"/>
        <v>SPS3</v>
      </c>
      <c r="C965" s="5" t="str">
        <f t="shared" si="620"/>
        <v>CH</v>
      </c>
      <c r="D965" t="s">
        <v>996</v>
      </c>
      <c r="E965" t="s">
        <v>240</v>
      </c>
      <c r="F965" s="4">
        <f t="shared" si="624"/>
        <v>0.99000000000000032</v>
      </c>
      <c r="G965" s="4">
        <f t="shared" si="624"/>
        <v>0.99000000000000021</v>
      </c>
      <c r="H965" s="4">
        <f t="shared" si="624"/>
        <v>0.82339569752736086</v>
      </c>
      <c r="I965" s="4">
        <f t="shared" si="624"/>
        <v>0.82693857251891889</v>
      </c>
      <c r="J965" s="4">
        <f t="shared" si="624"/>
        <v>0.82693857251891856</v>
      </c>
      <c r="K965" s="4">
        <f t="shared" si="624"/>
        <v>0.82693857251891967</v>
      </c>
    </row>
    <row r="966" spans="2:11" x14ac:dyDescent="0.25">
      <c r="B966" s="5" t="str">
        <f t="shared" si="618"/>
        <v>SPS3</v>
      </c>
      <c r="C966" s="5" t="str">
        <f t="shared" si="620"/>
        <v>CH</v>
      </c>
      <c r="D966" t="s">
        <v>997</v>
      </c>
      <c r="E966" t="s">
        <v>240</v>
      </c>
      <c r="F966" s="4">
        <f t="shared" ref="F966:K966" si="625">IFERROR(F944/F911,"-")</f>
        <v>0.71999999999999942</v>
      </c>
      <c r="G966" s="4">
        <f t="shared" si="625"/>
        <v>0.72000000000000064</v>
      </c>
      <c r="H966" s="4">
        <f t="shared" si="625"/>
        <v>0.67412285045667975</v>
      </c>
      <c r="I966" s="4">
        <f t="shared" si="625"/>
        <v>0.67412285045667952</v>
      </c>
      <c r="J966" s="4">
        <f t="shared" si="625"/>
        <v>0.6741228504566803</v>
      </c>
      <c r="K966" s="4">
        <f t="shared" si="625"/>
        <v>0.71369667380589541</v>
      </c>
    </row>
    <row r="967" spans="2:11" x14ac:dyDescent="0.25">
      <c r="B967" s="5" t="str">
        <f t="shared" si="618"/>
        <v>SPS3</v>
      </c>
      <c r="C967" s="5" t="str">
        <f t="shared" si="620"/>
        <v>CH</v>
      </c>
      <c r="D967" t="s">
        <v>998</v>
      </c>
      <c r="E967" t="s">
        <v>240</v>
      </c>
      <c r="F967" s="4">
        <f t="shared" ref="F967:K967" si="626">IFERROR(F946/F914,"-")</f>
        <v>0.90000000000000013</v>
      </c>
      <c r="G967" s="4">
        <f t="shared" si="626"/>
        <v>0.90000000000000047</v>
      </c>
      <c r="H967" s="4">
        <f t="shared" si="626"/>
        <v>0.65832674782787826</v>
      </c>
      <c r="I967" s="4">
        <f t="shared" si="626"/>
        <v>0.65832674782787803</v>
      </c>
      <c r="J967" s="4">
        <f t="shared" si="626"/>
        <v>0.65832674782787726</v>
      </c>
      <c r="K967" s="4">
        <f t="shared" si="626"/>
        <v>0.69326024388701157</v>
      </c>
    </row>
    <row r="968" spans="2:11" x14ac:dyDescent="0.25">
      <c r="B968" s="5" t="str">
        <f t="shared" si="618"/>
        <v>SPS3</v>
      </c>
      <c r="C968" s="5" t="str">
        <f t="shared" si="620"/>
        <v>CH</v>
      </c>
      <c r="D968" t="s">
        <v>999</v>
      </c>
      <c r="E968" t="s">
        <v>240</v>
      </c>
      <c r="F968" s="4">
        <f t="shared" ref="F968:K968" si="627">IFERROR(F948/F916,"-")</f>
        <v>1</v>
      </c>
      <c r="G968" s="4">
        <f t="shared" si="627"/>
        <v>1</v>
      </c>
      <c r="H968" s="4">
        <f t="shared" si="627"/>
        <v>1</v>
      </c>
      <c r="I968" s="4">
        <f t="shared" si="627"/>
        <v>1</v>
      </c>
      <c r="J968" s="4">
        <f t="shared" si="627"/>
        <v>1</v>
      </c>
      <c r="K968" s="4">
        <f t="shared" si="627"/>
        <v>1</v>
      </c>
    </row>
    <row r="969" spans="2:11" x14ac:dyDescent="0.25">
      <c r="B969" s="5" t="str">
        <f t="shared" si="618"/>
        <v>SPS3</v>
      </c>
      <c r="C969" s="5" t="str">
        <f t="shared" si="620"/>
        <v>CH</v>
      </c>
      <c r="D969" t="s">
        <v>1000</v>
      </c>
      <c r="E969" t="s">
        <v>240</v>
      </c>
      <c r="F969" s="4" t="str">
        <f t="shared" ref="F969:K969" si="628">IFERROR(F950/F920,"-")</f>
        <v>-</v>
      </c>
      <c r="G969" s="4" t="str">
        <f t="shared" si="628"/>
        <v>-</v>
      </c>
      <c r="H969" s="4">
        <f t="shared" si="628"/>
        <v>0</v>
      </c>
      <c r="I969" s="4">
        <f t="shared" si="628"/>
        <v>0</v>
      </c>
      <c r="J969" s="4">
        <f t="shared" si="628"/>
        <v>0</v>
      </c>
      <c r="K969" s="4">
        <f t="shared" si="628"/>
        <v>0</v>
      </c>
    </row>
    <row r="970" spans="2:11" x14ac:dyDescent="0.25">
      <c r="B970" s="9" t="str">
        <f t="shared" si="618"/>
        <v>SPS3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219.85102753784926</v>
      </c>
      <c r="G970" s="3">
        <f>[1]Residential!C$26</f>
        <v>216.85697827469545</v>
      </c>
      <c r="H970" s="3">
        <f>[1]Residential!D$26</f>
        <v>215.08897323736758</v>
      </c>
      <c r="I970" s="3">
        <f>[1]Residential!E$26</f>
        <v>193.50082796355238</v>
      </c>
      <c r="J970" s="3">
        <f>[1]Residential!F$26</f>
        <v>169.89157283131715</v>
      </c>
      <c r="K970" s="3">
        <f>[1]Residential!G$26</f>
        <v>149.38430368486866</v>
      </c>
    </row>
    <row r="971" spans="2:11" x14ac:dyDescent="0.25">
      <c r="B971" s="5" t="str">
        <f t="shared" si="618"/>
        <v>SPS3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69.470043085507328</v>
      </c>
      <c r="G971" s="1">
        <f>[1]Residential!C$15</f>
        <v>68.439777417350655</v>
      </c>
      <c r="H971" s="1">
        <f>[1]Residential!D$15</f>
        <v>68.206293713185687</v>
      </c>
      <c r="I971" s="1">
        <f>[1]Residential!E$15</f>
        <v>68.670099454638205</v>
      </c>
      <c r="J971" s="1">
        <f>[1]Residential!F$15</f>
        <v>68.790789191034989</v>
      </c>
      <c r="K971" s="1">
        <f>[1]Residential!G$15</f>
        <v>61.142886704150797</v>
      </c>
    </row>
    <row r="972" spans="2:11" x14ac:dyDescent="0.25">
      <c r="B972" s="5" t="str">
        <f t="shared" si="618"/>
        <v>SPS3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15.333215028467148</v>
      </c>
      <c r="G972" s="1">
        <f t="shared" ref="G972:K972" si="629">SUM(G973:G974)</f>
        <v>13.493286837449585</v>
      </c>
      <c r="H972" s="1">
        <f t="shared" si="629"/>
        <v>11.778138877869438</v>
      </c>
      <c r="I972" s="1">
        <f t="shared" si="629"/>
        <v>15.397428053443267</v>
      </c>
      <c r="J972" s="1">
        <f t="shared" si="629"/>
        <v>17.917454421742768</v>
      </c>
      <c r="K972" s="1">
        <f t="shared" si="629"/>
        <v>15.092806442252193</v>
      </c>
    </row>
    <row r="973" spans="2:11" x14ac:dyDescent="0.25">
      <c r="B973" s="5" t="str">
        <f t="shared" si="618"/>
        <v>SPS3</v>
      </c>
      <c r="C973" s="5" t="str">
        <f t="shared" ref="C973" si="630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9.3768568136949497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6.7091630380918303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0.88610916468845913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0.15772224802347815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1.2119896116409706E-2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6.7726358850344242E-3</v>
      </c>
    </row>
    <row r="974" spans="2:11" x14ac:dyDescent="0.25">
      <c r="B974" s="5" t="str">
        <f t="shared" si="618"/>
        <v>SPS3</v>
      </c>
      <c r="C974" s="5" t="str">
        <f t="shared" ref="C974:C978" si="631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5.956358214772199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6.7841237993577552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10.892029713180978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15.239705805419788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17.905334525626358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15.086033806367158</v>
      </c>
    </row>
    <row r="975" spans="2:11" x14ac:dyDescent="0.25">
      <c r="B975" s="5" t="str">
        <f t="shared" si="618"/>
        <v>SPS3</v>
      </c>
      <c r="C975" s="5" t="str">
        <f t="shared" si="631"/>
        <v>CH</v>
      </c>
      <c r="D975" t="s">
        <v>1003</v>
      </c>
      <c r="E975" t="s">
        <v>8</v>
      </c>
      <c r="F975" s="1">
        <f>SUM(F976:F977)</f>
        <v>9.5599193300268084</v>
      </c>
      <c r="G975" s="1">
        <f t="shared" ref="G975:K975" si="632">SUM(G976:G977)</f>
        <v>10.085309486349393</v>
      </c>
      <c r="H975" s="1">
        <f t="shared" si="632"/>
        <v>8.5600763230320176</v>
      </c>
      <c r="I975" s="1">
        <f t="shared" si="632"/>
        <v>8.2152262985039712</v>
      </c>
      <c r="J975" s="1">
        <f t="shared" si="632"/>
        <v>9.3980477206175834</v>
      </c>
      <c r="K975" s="1">
        <f t="shared" si="632"/>
        <v>8.9991957622594665</v>
      </c>
    </row>
    <row r="976" spans="2:11" x14ac:dyDescent="0.25">
      <c r="B976" s="5" t="str">
        <f t="shared" si="618"/>
        <v>SPS3</v>
      </c>
      <c r="C976" s="5" t="str">
        <f t="shared" si="631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8.4110183982085651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8.7988758319019365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5.919643230475562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3.939427443568297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3.2044130375864004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2.7398904147376424</v>
      </c>
    </row>
    <row r="977" spans="2:11" x14ac:dyDescent="0.25">
      <c r="B977" s="5" t="str">
        <f t="shared" si="618"/>
        <v>SPS3</v>
      </c>
      <c r="C977" s="5" t="str">
        <f t="shared" si="631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1.1489009318182426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1.2864336544474571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2.6404330925564561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4.2757988549356734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6.1936346830311821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6.2593053475218241</v>
      </c>
    </row>
    <row r="978" spans="2:11" x14ac:dyDescent="0.25">
      <c r="B978" s="5" t="str">
        <f t="shared" si="618"/>
        <v>SPS3</v>
      </c>
      <c r="C978" s="5" t="str">
        <f t="shared" si="631"/>
        <v>CH</v>
      </c>
      <c r="D978" t="s">
        <v>1004</v>
      </c>
      <c r="E978" t="s">
        <v>8</v>
      </c>
      <c r="F978" s="1">
        <f>[1]Residential!B$3-([1]Residential!B$10-[1]Residential!B$244)</f>
        <v>44.576908727013368</v>
      </c>
      <c r="G978" s="1">
        <f>[1]Residential!C$3-([1]Residential!C$10-[1]Residential!C$244)</f>
        <v>44.861181093551671</v>
      </c>
      <c r="H978" s="1">
        <f>[1]Residential!D$3-([1]Residential!D$10-[1]Residential!D$244)</f>
        <v>47.868078512284235</v>
      </c>
      <c r="I978" s="1">
        <f>[1]Residential!E$3-([1]Residential!E$10-[1]Residential!E$244)</f>
        <v>45.05744510269097</v>
      </c>
      <c r="J978" s="1">
        <f>[1]Residential!F$3-([1]Residential!F$10-[1]Residential!F$244)</f>
        <v>41.475287048674637</v>
      </c>
      <c r="K978" s="1">
        <f>[1]Residential!G$3-([1]Residential!G$10-[1]Residential!G$244)</f>
        <v>37.050884499639139</v>
      </c>
    </row>
    <row r="979" spans="2:11" x14ac:dyDescent="0.25">
      <c r="B979" s="5" t="str">
        <f t="shared" si="618"/>
        <v>SPS3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60.231834741747335</v>
      </c>
      <c r="G979" s="1">
        <f>SUM([1]Residential!C$16:C$17)</f>
        <v>51.320018480843956</v>
      </c>
      <c r="H979" s="1">
        <f>SUM([1]Residential!D$16:D$17)</f>
        <v>47.405646818405849</v>
      </c>
      <c r="I979" s="1">
        <f>SUM([1]Residential!E$16:E$17)</f>
        <v>20.892013876618776</v>
      </c>
      <c r="J979" s="1">
        <f>SUM([1]Residential!F$16:F$17)</f>
        <v>2.9725151157325924</v>
      </c>
      <c r="K979" s="1">
        <f>SUM([1]Residential!G$16:G$17)</f>
        <v>0.17175362438476982</v>
      </c>
    </row>
    <row r="980" spans="2:11" x14ac:dyDescent="0.25">
      <c r="B980" s="5" t="str">
        <f t="shared" si="618"/>
        <v>SPS3</v>
      </c>
      <c r="C980" s="5" t="str">
        <f t="shared" ref="C980:C991" si="633">C979</f>
        <v>CH</v>
      </c>
      <c r="D980" t="s">
        <v>1005</v>
      </c>
      <c r="E980" t="s">
        <v>8</v>
      </c>
      <c r="F980" s="1">
        <f>[1]Residential!B$16</f>
        <v>60.231834741747335</v>
      </c>
      <c r="G980" s="1">
        <f>[1]Residential!C$16</f>
        <v>51.320018480843956</v>
      </c>
      <c r="H980" s="1">
        <f>[1]Residential!D$16</f>
        <v>47.405061802882848</v>
      </c>
      <c r="I980" s="1">
        <f>[1]Residential!E$16</f>
        <v>20.891460430187763</v>
      </c>
      <c r="J980" s="1">
        <f>[1]Residential!F$16</f>
        <v>2.9716251052873246</v>
      </c>
      <c r="K980" s="1">
        <f>[1]Residential!G$16</f>
        <v>3.0375258279257188E-6</v>
      </c>
    </row>
    <row r="981" spans="2:11" x14ac:dyDescent="0.25">
      <c r="B981" s="5" t="str">
        <f t="shared" si="618"/>
        <v>SPS3</v>
      </c>
      <c r="C981" s="5" t="str">
        <f t="shared" si="633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5.8501552300396905E-4</v>
      </c>
      <c r="I981" s="1">
        <f>[1]Residential!E$17</f>
        <v>5.5344643101448417E-4</v>
      </c>
      <c r="J981" s="1">
        <f>[1]Residential!F$17</f>
        <v>8.9001044526779518E-4</v>
      </c>
      <c r="K981" s="1">
        <f>[1]Residential!G$17</f>
        <v>0.1717505868589419</v>
      </c>
    </row>
    <row r="982" spans="2:11" x14ac:dyDescent="0.25">
      <c r="B982" s="5" t="str">
        <f t="shared" si="618"/>
        <v>SPS3</v>
      </c>
      <c r="C982" s="5" t="str">
        <f t="shared" si="633"/>
        <v>CH</v>
      </c>
      <c r="D982" t="s">
        <v>1007</v>
      </c>
      <c r="E982" t="s">
        <v>8</v>
      </c>
      <c r="F982" s="1">
        <f>SUM(F984,F986)</f>
        <v>50.371419100028788</v>
      </c>
      <c r="G982" s="1">
        <f t="shared" ref="G982:K982" si="634">SUM(G984,G986)</f>
        <v>43.563615966698514</v>
      </c>
      <c r="H982" s="1">
        <f t="shared" si="634"/>
        <v>38.796601337441658</v>
      </c>
      <c r="I982" s="1">
        <f t="shared" si="634"/>
        <v>17.510931970412443</v>
      </c>
      <c r="J982" s="1">
        <f t="shared" si="634"/>
        <v>2.2654505843684269</v>
      </c>
      <c r="K982" s="1">
        <f t="shared" si="634"/>
        <v>0.14317976619894263</v>
      </c>
    </row>
    <row r="983" spans="2:11" x14ac:dyDescent="0.25">
      <c r="B983" s="5" t="str">
        <f t="shared" si="618"/>
        <v>SPS3</v>
      </c>
      <c r="C983" s="5" t="str">
        <f t="shared" si="633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50.371419100028788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43.563615966698514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38.796601337441658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17.510931970412443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2.2654505843684269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0.14317976619894263</v>
      </c>
    </row>
    <row r="984" spans="2:11" x14ac:dyDescent="0.25">
      <c r="B984" s="5" t="str">
        <f t="shared" si="618"/>
        <v>SPS3</v>
      </c>
      <c r="C984" s="5" t="str">
        <f t="shared" si="633"/>
        <v>CH</v>
      </c>
      <c r="D984" t="s">
        <v>1008</v>
      </c>
      <c r="E984" t="s">
        <v>8</v>
      </c>
      <c r="F984" s="1">
        <f>F985</f>
        <v>50.371419100028788</v>
      </c>
      <c r="G984" s="1">
        <f t="shared" ref="G984:K984" si="635">G985</f>
        <v>43.563615966698514</v>
      </c>
      <c r="H984" s="1">
        <f t="shared" si="635"/>
        <v>38.796122562959177</v>
      </c>
      <c r="I984" s="1">
        <f t="shared" si="635"/>
        <v>17.510468091589658</v>
      </c>
      <c r="J984" s="1">
        <f t="shared" si="635"/>
        <v>2.2647722784204927</v>
      </c>
      <c r="K984" s="1">
        <f t="shared" si="635"/>
        <v>2.5321866681039877E-6</v>
      </c>
    </row>
    <row r="985" spans="2:11" x14ac:dyDescent="0.25">
      <c r="B985" s="5" t="str">
        <f t="shared" si="618"/>
        <v>SPS3</v>
      </c>
      <c r="C985" s="5" t="str">
        <f t="shared" si="633"/>
        <v>CH</v>
      </c>
      <c r="D985" t="s">
        <v>709</v>
      </c>
      <c r="E985" t="s">
        <v>8</v>
      </c>
      <c r="F985" s="1">
        <f>F983*IFERROR(F980/F979,0)</f>
        <v>50.371419100028788</v>
      </c>
      <c r="G985" s="1">
        <f t="shared" ref="G985:K985" si="636">G983*IFERROR(G980/G979,0)</f>
        <v>43.563615966698514</v>
      </c>
      <c r="H985" s="1">
        <f t="shared" si="636"/>
        <v>38.796122562959177</v>
      </c>
      <c r="I985" s="1">
        <f t="shared" si="636"/>
        <v>17.510468091589658</v>
      </c>
      <c r="J985" s="1">
        <f t="shared" si="636"/>
        <v>2.2647722784204927</v>
      </c>
      <c r="K985" s="1">
        <f t="shared" si="636"/>
        <v>2.5321866681039877E-6</v>
      </c>
    </row>
    <row r="986" spans="2:11" x14ac:dyDescent="0.25">
      <c r="B986" s="5" t="str">
        <f t="shared" si="618"/>
        <v>SPS3</v>
      </c>
      <c r="C986" s="5" t="str">
        <f t="shared" si="633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37">G987</f>
        <v>0</v>
      </c>
      <c r="H986" s="1">
        <f t="shared" si="637"/>
        <v>4.7877448248101473E-4</v>
      </c>
      <c r="I986" s="1">
        <f t="shared" si="637"/>
        <v>4.6387882278509096E-4</v>
      </c>
      <c r="J986" s="1">
        <f t="shared" si="637"/>
        <v>6.7830594793427679E-4</v>
      </c>
      <c r="K986" s="1">
        <f t="shared" si="637"/>
        <v>0.14317723401227453</v>
      </c>
    </row>
    <row r="987" spans="2:11" x14ac:dyDescent="0.25">
      <c r="B987" s="5" t="str">
        <f t="shared" si="618"/>
        <v>SPS3</v>
      </c>
      <c r="C987" s="5" t="str">
        <f t="shared" si="633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38">G983-G985</f>
        <v>0</v>
      </c>
      <c r="H987" s="1">
        <f t="shared" si="638"/>
        <v>4.7877448248101473E-4</v>
      </c>
      <c r="I987" s="1">
        <f t="shared" si="638"/>
        <v>4.6387882278509096E-4</v>
      </c>
      <c r="J987" s="1">
        <f t="shared" si="638"/>
        <v>6.7830594793427679E-4</v>
      </c>
      <c r="K987" s="1">
        <f t="shared" si="638"/>
        <v>0.14317723401227453</v>
      </c>
    </row>
    <row r="988" spans="2:11" x14ac:dyDescent="0.25">
      <c r="B988" s="5" t="str">
        <f t="shared" si="618"/>
        <v>SPS3</v>
      </c>
      <c r="C988" s="5" t="str">
        <f t="shared" si="633"/>
        <v>CH</v>
      </c>
      <c r="D988" t="s">
        <v>1010</v>
      </c>
      <c r="E988" t="s">
        <v>8</v>
      </c>
      <c r="F988" s="1">
        <f>F989</f>
        <v>9.8604156417185482</v>
      </c>
      <c r="G988" s="1">
        <f t="shared" ref="G988:K988" si="639">G989</f>
        <v>7.7564025141454369</v>
      </c>
      <c r="H988" s="1">
        <f t="shared" si="639"/>
        <v>8.6090454809641983</v>
      </c>
      <c r="I988" s="1">
        <f t="shared" si="639"/>
        <v>3.3810819062063304</v>
      </c>
      <c r="J988" s="1">
        <f t="shared" si="639"/>
        <v>0.70706453136416514</v>
      </c>
      <c r="K988" s="1">
        <f t="shared" si="639"/>
        <v>2.8573858185827226E-2</v>
      </c>
    </row>
    <row r="989" spans="2:11" x14ac:dyDescent="0.25">
      <c r="B989" s="5" t="str">
        <f t="shared" si="618"/>
        <v>SPS3</v>
      </c>
      <c r="C989" s="5" t="str">
        <f t="shared" si="633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9.8604156417185482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7.7564025141454369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8.6090454809641983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3.3810819062063304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0.70706453136416514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2.8573858185827226E-2</v>
      </c>
    </row>
    <row r="990" spans="2:11" x14ac:dyDescent="0.25">
      <c r="B990" s="5" t="str">
        <f t="shared" si="618"/>
        <v>SPS3</v>
      </c>
      <c r="C990" s="5" t="str">
        <f t="shared" si="633"/>
        <v>CH</v>
      </c>
      <c r="D990" t="s">
        <v>712</v>
      </c>
      <c r="E990" t="s">
        <v>8</v>
      </c>
      <c r="F990" s="1">
        <f>IFERROR(F980/F979,0)*F989</f>
        <v>9.8604156417185482</v>
      </c>
      <c r="G990" s="1">
        <f t="shared" ref="G990:K990" si="640">IFERROR(G980/G979,0)*G989</f>
        <v>7.7564025141454369</v>
      </c>
      <c r="H990" s="1">
        <f t="shared" si="640"/>
        <v>8.6089392399236768</v>
      </c>
      <c r="I990" s="1">
        <f t="shared" si="640"/>
        <v>3.3809923385981047</v>
      </c>
      <c r="J990" s="1">
        <f t="shared" si="640"/>
        <v>0.7068528268668316</v>
      </c>
      <c r="K990" s="1">
        <f t="shared" si="640"/>
        <v>5.0533915982173198E-7</v>
      </c>
    </row>
    <row r="991" spans="2:11" x14ac:dyDescent="0.25">
      <c r="B991" s="5" t="str">
        <f t="shared" si="618"/>
        <v>SPS3</v>
      </c>
      <c r="C991" s="5" t="str">
        <f t="shared" si="633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41">G989-G990</f>
        <v>0</v>
      </c>
      <c r="H991" s="1">
        <f t="shared" si="641"/>
        <v>1.0624104052148198E-4</v>
      </c>
      <c r="I991" s="1">
        <f t="shared" si="641"/>
        <v>8.9567608225760154E-5</v>
      </c>
      <c r="J991" s="1">
        <f t="shared" si="641"/>
        <v>2.1170449733354246E-4</v>
      </c>
      <c r="K991" s="1">
        <f t="shared" si="641"/>
        <v>2.8573352846667403E-2</v>
      </c>
    </row>
    <row r="992" spans="2:11" x14ac:dyDescent="0.25">
      <c r="B992" s="5" t="str">
        <f t="shared" si="618"/>
        <v>SPS3</v>
      </c>
      <c r="C992" s="5" t="str">
        <f>C991</f>
        <v>CH</v>
      </c>
      <c r="D992" t="s">
        <v>677</v>
      </c>
      <c r="E992" t="s">
        <v>8</v>
      </c>
      <c r="F992" s="1">
        <f>SUM(F993:F994)</f>
        <v>47.001931536149144</v>
      </c>
      <c r="G992" s="1">
        <f t="shared" ref="G992:K992" si="642">SUM(G993:G994)</f>
        <v>48.242635214741995</v>
      </c>
      <c r="H992" s="1">
        <f t="shared" si="642"/>
        <v>44.979546783062723</v>
      </c>
      <c r="I992" s="1">
        <f t="shared" si="642"/>
        <v>30.217852389711737</v>
      </c>
      <c r="J992" s="1">
        <f t="shared" si="642"/>
        <v>11.092274125148789</v>
      </c>
      <c r="K992" s="1">
        <f t="shared" si="642"/>
        <v>6.7584132378180906</v>
      </c>
    </row>
    <row r="993" spans="2:13" x14ac:dyDescent="0.25">
      <c r="B993" s="5" t="str">
        <f t="shared" si="618"/>
        <v>SPS3</v>
      </c>
      <c r="C993" s="5" t="str">
        <f t="shared" ref="C993:C1053" si="643">C992</f>
        <v>CH</v>
      </c>
      <c r="D993" t="s">
        <v>1011</v>
      </c>
      <c r="E993" t="s">
        <v>8</v>
      </c>
      <c r="F993" s="1">
        <f>[1]Residential!B$18</f>
        <v>46.693285544410116</v>
      </c>
      <c r="G993" s="1">
        <f>[1]Residential!C$18</f>
        <v>46.417998729917869</v>
      </c>
      <c r="H993" s="1">
        <f>[1]Residential!D$18</f>
        <v>43.587471203521119</v>
      </c>
      <c r="I993" s="1">
        <f>[1]Residential!E$18</f>
        <v>28.212809577978234</v>
      </c>
      <c r="J993" s="1">
        <f>[1]Residential!F$18</f>
        <v>11.092024331897838</v>
      </c>
      <c r="K993" s="1">
        <f>[1]Residential!G$18</f>
        <v>6.7582070868745667</v>
      </c>
    </row>
    <row r="994" spans="2:13" x14ac:dyDescent="0.25">
      <c r="B994" s="5" t="str">
        <f t="shared" si="618"/>
        <v>SPS3</v>
      </c>
      <c r="C994" s="5" t="str">
        <f t="shared" si="643"/>
        <v>CH</v>
      </c>
      <c r="D994" t="s">
        <v>1012</v>
      </c>
      <c r="E994" t="s">
        <v>8</v>
      </c>
      <c r="F994" s="1">
        <f>[1]Residential!B$19</f>
        <v>0.3086459917390289</v>
      </c>
      <c r="G994" s="1">
        <f>[1]Residential!C$19</f>
        <v>1.8246364848241232</v>
      </c>
      <c r="H994" s="1">
        <f>[1]Residential!D$19</f>
        <v>1.3920755795416029</v>
      </c>
      <c r="I994" s="1">
        <f>[1]Residential!E$19</f>
        <v>2.0050428117335048</v>
      </c>
      <c r="J994" s="1">
        <f>[1]Residential!F$19</f>
        <v>2.4979325095179889E-4</v>
      </c>
      <c r="K994" s="1">
        <f>[1]Residential!G$19</f>
        <v>2.0615094352344668E-4</v>
      </c>
    </row>
    <row r="995" spans="2:13" x14ac:dyDescent="0.25">
      <c r="B995" s="5" t="str">
        <f t="shared" si="618"/>
        <v>SPS3</v>
      </c>
      <c r="C995" s="5" t="str">
        <f t="shared" si="643"/>
        <v>CH</v>
      </c>
      <c r="D995" t="s">
        <v>1013</v>
      </c>
      <c r="E995" t="s">
        <v>8</v>
      </c>
      <c r="F995" s="1">
        <f>SUM(F996:F997)</f>
        <v>38.494659389154776</v>
      </c>
      <c r="G995" s="1">
        <f t="shared" ref="G995:K995" si="644">SUM(G996:G997)</f>
        <v>40.893554997510712</v>
      </c>
      <c r="H995" s="1">
        <f t="shared" si="644"/>
        <v>35.176754179285531</v>
      </c>
      <c r="I995" s="1">
        <f t="shared" si="644"/>
        <v>25.011393997456313</v>
      </c>
      <c r="J995" s="1">
        <f t="shared" si="644"/>
        <v>8.2944049184628437</v>
      </c>
      <c r="K995" s="1">
        <f t="shared" si="644"/>
        <v>4.994284357306249</v>
      </c>
    </row>
    <row r="996" spans="2:13" x14ac:dyDescent="0.25">
      <c r="B996" s="5" t="str">
        <f t="shared" si="618"/>
        <v>SPS3</v>
      </c>
      <c r="C996" s="5" t="str">
        <f t="shared" si="643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38.494659389154776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40.893554997510712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33.063248090109816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21.507267466501009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3.7851652043845427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1.5068542179312874</v>
      </c>
    </row>
    <row r="997" spans="2:13" x14ac:dyDescent="0.25">
      <c r="B997" s="5" t="str">
        <f t="shared" si="618"/>
        <v>SPS3</v>
      </c>
      <c r="C997" s="5" t="str">
        <f t="shared" si="643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2.1135060891757136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3.504126530955304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4.5092397140783014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3.4874301393749612</v>
      </c>
    </row>
    <row r="998" spans="2:13" x14ac:dyDescent="0.25">
      <c r="B998" s="5" t="str">
        <f t="shared" si="618"/>
        <v>SPS3</v>
      </c>
      <c r="C998" s="5" t="str">
        <f t="shared" si="643"/>
        <v>CH</v>
      </c>
      <c r="D998" t="s">
        <v>1014</v>
      </c>
      <c r="E998" t="s">
        <v>8</v>
      </c>
      <c r="F998" s="1">
        <f>SUM(F999:F1000)</f>
        <v>38.24187781325967</v>
      </c>
      <c r="G998" s="1">
        <f t="shared" ref="G998:K998" si="645">SUM(G999:G1000)</f>
        <v>39.346875963281278</v>
      </c>
      <c r="H998" s="1">
        <f t="shared" si="645"/>
        <v>34.088066009600354</v>
      </c>
      <c r="I998" s="1">
        <f t="shared" si="645"/>
        <v>23.351814914890259</v>
      </c>
      <c r="J998" s="1">
        <f t="shared" si="645"/>
        <v>8.2942181320251915</v>
      </c>
      <c r="K998" s="1">
        <f t="shared" si="645"/>
        <v>4.9941320173417845</v>
      </c>
    </row>
    <row r="999" spans="2:13" x14ac:dyDescent="0.25">
      <c r="B999" s="5" t="str">
        <f t="shared" si="618"/>
        <v>SPS3</v>
      </c>
      <c r="C999" s="5" t="str">
        <f t="shared" si="643"/>
        <v>CH</v>
      </c>
      <c r="D999" t="s">
        <v>716</v>
      </c>
      <c r="E999" t="s">
        <v>8</v>
      </c>
      <c r="F999" s="1">
        <f>F996-F1002</f>
        <v>38.24187781325967</v>
      </c>
      <c r="G999" s="1">
        <f t="shared" ref="G999:K999" si="646">G996-G1002</f>
        <v>39.346875963281278</v>
      </c>
      <c r="H999" s="1">
        <f t="shared" si="646"/>
        <v>32.039970988885244</v>
      </c>
      <c r="I999" s="1">
        <f t="shared" si="646"/>
        <v>20.080197419378145</v>
      </c>
      <c r="J999" s="1">
        <f t="shared" si="646"/>
        <v>3.7850799640892592</v>
      </c>
      <c r="K999" s="1">
        <f t="shared" si="646"/>
        <v>1.5068082545656498</v>
      </c>
    </row>
    <row r="1000" spans="2:13" x14ac:dyDescent="0.25">
      <c r="B1000" s="5" t="str">
        <f t="shared" si="618"/>
        <v>SPS3</v>
      </c>
      <c r="C1000" s="5" t="str">
        <f t="shared" si="643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47">G997-G1003</f>
        <v>0</v>
      </c>
      <c r="H1000" s="1">
        <f t="shared" si="647"/>
        <v>2.0480950207151065</v>
      </c>
      <c r="I1000" s="1">
        <f t="shared" si="647"/>
        <v>3.2716174955121131</v>
      </c>
      <c r="J1000" s="1">
        <f t="shared" si="647"/>
        <v>4.5091381679359328</v>
      </c>
      <c r="K1000" s="1">
        <f t="shared" si="647"/>
        <v>3.4873237627761347</v>
      </c>
    </row>
    <row r="1001" spans="2:13" x14ac:dyDescent="0.25">
      <c r="B1001" s="5" t="str">
        <f t="shared" si="618"/>
        <v>SPS3</v>
      </c>
      <c r="C1001" s="5" t="str">
        <f t="shared" si="643"/>
        <v>CH</v>
      </c>
      <c r="D1001" t="s">
        <v>1015</v>
      </c>
      <c r="E1001" t="s">
        <v>8</v>
      </c>
      <c r="F1001" s="1">
        <f>SUM(F1002:F1003)</f>
        <v>0.25278157589510891</v>
      </c>
      <c r="G1001" s="1">
        <f t="shared" ref="G1001:K1001" si="648">SUM(G1002:G1003)</f>
        <v>1.5466790342294312</v>
      </c>
      <c r="H1001" s="1">
        <f t="shared" si="648"/>
        <v>1.0886881696851782</v>
      </c>
      <c r="I1001" s="1">
        <f t="shared" si="648"/>
        <v>1.6595790825660561</v>
      </c>
      <c r="J1001" s="1">
        <f t="shared" si="648"/>
        <v>1.8678643765176805E-4</v>
      </c>
      <c r="K1001" s="1">
        <f t="shared" si="648"/>
        <v>1.5233996446412408E-4</v>
      </c>
      <c r="L1001" s="1"/>
    </row>
    <row r="1002" spans="2:13" x14ac:dyDescent="0.25">
      <c r="B1002" s="5" t="str">
        <f t="shared" si="618"/>
        <v>SPS3</v>
      </c>
      <c r="C1002" s="5" t="str">
        <f t="shared" si="643"/>
        <v>CH</v>
      </c>
      <c r="D1002" t="s">
        <v>717</v>
      </c>
      <c r="E1002" t="s">
        <v>8</v>
      </c>
      <c r="F1002" s="1">
        <f>F996*IFERROR(F$994/F$992,0)</f>
        <v>0.25278157589510891</v>
      </c>
      <c r="G1002" s="1">
        <f t="shared" ref="G1002:K1002" si="649">G996*IFERROR(G994/G992,0)</f>
        <v>1.5466790342294312</v>
      </c>
      <c r="H1002" s="1">
        <f t="shared" si="649"/>
        <v>1.0232771012245714</v>
      </c>
      <c r="I1002" s="1">
        <f t="shared" si="649"/>
        <v>1.4270700471228652</v>
      </c>
      <c r="J1002" s="1">
        <f t="shared" si="649"/>
        <v>8.5240295283467169E-5</v>
      </c>
      <c r="K1002" s="1">
        <f t="shared" si="649"/>
        <v>4.5963365637450744E-5</v>
      </c>
    </row>
    <row r="1003" spans="2:13" x14ac:dyDescent="0.25">
      <c r="B1003" s="5" t="str">
        <f t="shared" si="618"/>
        <v>SPS3</v>
      </c>
      <c r="C1003" s="5" t="str">
        <f t="shared" si="643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50">G997*IFERROR(G$994/G$992,0)</f>
        <v>0</v>
      </c>
      <c r="H1003" s="1">
        <f t="shared" si="650"/>
        <v>6.541106846060693E-2</v>
      </c>
      <c r="I1003" s="1">
        <f t="shared" si="650"/>
        <v>0.23250903544319082</v>
      </c>
      <c r="J1003" s="1">
        <f t="shared" si="650"/>
        <v>1.0154614236830088E-4</v>
      </c>
      <c r="K1003" s="1">
        <f t="shared" si="650"/>
        <v>1.0637659882667333E-4</v>
      </c>
    </row>
    <row r="1004" spans="2:13" x14ac:dyDescent="0.25">
      <c r="B1004" s="5" t="str">
        <f t="shared" si="618"/>
        <v>SPS3</v>
      </c>
      <c r="C1004" s="5" t="str">
        <f t="shared" si="643"/>
        <v>CH</v>
      </c>
      <c r="D1004" t="s">
        <v>1016</v>
      </c>
      <c r="E1004" t="s">
        <v>8</v>
      </c>
      <c r="F1004" s="1">
        <f>SUM(F1005:F1006)</f>
        <v>8.5072721469943673</v>
      </c>
      <c r="G1004" s="1">
        <f t="shared" ref="G1004:K1004" si="651">SUM(G1005:G1006)</f>
        <v>7.3490802172312826</v>
      </c>
      <c r="H1004" s="1">
        <f t="shared" si="651"/>
        <v>9.8027926037771937</v>
      </c>
      <c r="I1004" s="1">
        <f t="shared" si="651"/>
        <v>5.2064583922554242</v>
      </c>
      <c r="J1004" s="1">
        <f t="shared" si="651"/>
        <v>2.7978692066859452</v>
      </c>
      <c r="K1004" s="1">
        <f t="shared" si="651"/>
        <v>1.7641288805118425</v>
      </c>
      <c r="L1004" s="1"/>
      <c r="M1004" s="19"/>
    </row>
    <row r="1005" spans="2:13" x14ac:dyDescent="0.25">
      <c r="B1005" s="5" t="str">
        <f t="shared" si="618"/>
        <v>SPS3</v>
      </c>
      <c r="C1005" s="5" t="str">
        <f t="shared" si="643"/>
        <v>CH</v>
      </c>
      <c r="D1005" t="s">
        <v>719</v>
      </c>
      <c r="E1005" t="s">
        <v>8</v>
      </c>
      <c r="F1005" s="1">
        <f>F992-F996-F997-F1006</f>
        <v>8.5072721469943673</v>
      </c>
      <c r="G1005" s="1">
        <f t="shared" ref="G1005:K1005" si="652">G992-G996-G997-G1006</f>
        <v>7.3490802172312826</v>
      </c>
      <c r="H1005" s="1">
        <f t="shared" si="652"/>
        <v>9.3695464326794884</v>
      </c>
      <c r="I1005" s="1">
        <f t="shared" si="652"/>
        <v>4.3064489257066967</v>
      </c>
      <c r="J1005" s="1">
        <f t="shared" si="652"/>
        <v>1.3851879582745712</v>
      </c>
      <c r="K1005" s="1">
        <f t="shared" si="652"/>
        <v>0.60153988125225277</v>
      </c>
    </row>
    <row r="1006" spans="2:13" x14ac:dyDescent="0.25">
      <c r="B1006" s="5" t="str">
        <f t="shared" si="618"/>
        <v>SPS3</v>
      </c>
      <c r="C1006" s="5" t="str">
        <f t="shared" si="643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0.43324617109770541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0.90000946654872704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1.412681248411374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1.1625889992595897</v>
      </c>
    </row>
    <row r="1007" spans="2:13" x14ac:dyDescent="0.25">
      <c r="B1007" s="5" t="str">
        <f t="shared" si="618"/>
        <v>SPS3</v>
      </c>
      <c r="C1007" s="5" t="str">
        <f t="shared" si="643"/>
        <v>CH</v>
      </c>
      <c r="D1007" t="s">
        <v>1017</v>
      </c>
      <c r="E1007" t="s">
        <v>8</v>
      </c>
      <c r="F1007" s="1">
        <f>SUM(F1008:F1009)</f>
        <v>8.4514077311504465</v>
      </c>
      <c r="G1007" s="1">
        <f t="shared" ref="G1007:K1007" si="653">SUM(G1008:G1009)</f>
        <v>7.0711227666365906</v>
      </c>
      <c r="H1007" s="1">
        <f t="shared" si="653"/>
        <v>9.4994051939207687</v>
      </c>
      <c r="I1007" s="1">
        <f t="shared" si="653"/>
        <v>4.8609946630879755</v>
      </c>
      <c r="J1007" s="1">
        <f t="shared" si="653"/>
        <v>2.7978061998726451</v>
      </c>
      <c r="K1007" s="1">
        <f t="shared" si="653"/>
        <v>1.7640750695327831</v>
      </c>
    </row>
    <row r="1008" spans="2:13" x14ac:dyDescent="0.25">
      <c r="B1008" s="5" t="str">
        <f t="shared" si="618"/>
        <v>SPS3</v>
      </c>
      <c r="C1008" s="5" t="str">
        <f t="shared" si="643"/>
        <v>CH</v>
      </c>
      <c r="D1008" t="s">
        <v>718</v>
      </c>
      <c r="E1008" t="s">
        <v>8</v>
      </c>
      <c r="F1008" s="1">
        <f>F1005-F1011</f>
        <v>8.4514077311504465</v>
      </c>
      <c r="G1008" s="1">
        <f t="shared" ref="G1008:K1008" si="654">G1005-G1011</f>
        <v>7.0711227666365906</v>
      </c>
      <c r="H1008" s="1">
        <f t="shared" si="654"/>
        <v>9.0795675931144419</v>
      </c>
      <c r="I1008" s="1">
        <f t="shared" si="654"/>
        <v>4.020703454743793</v>
      </c>
      <c r="J1008" s="1">
        <f t="shared" si="654"/>
        <v>1.3851567644364662</v>
      </c>
      <c r="K1008" s="1">
        <f t="shared" si="654"/>
        <v>0.60152153256451746</v>
      </c>
    </row>
    <row r="1009" spans="2:11" x14ac:dyDescent="0.25">
      <c r="B1009" s="5" t="str">
        <f t="shared" si="618"/>
        <v>SPS3</v>
      </c>
      <c r="C1009" s="5" t="str">
        <f t="shared" si="643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55">G1006-G1012</f>
        <v>0</v>
      </c>
      <c r="H1009" s="1">
        <f t="shared" si="655"/>
        <v>0.41983760080632748</v>
      </c>
      <c r="I1009" s="1">
        <f t="shared" si="655"/>
        <v>0.84029120834418214</v>
      </c>
      <c r="J1009" s="1">
        <f t="shared" si="655"/>
        <v>1.4126494354361789</v>
      </c>
      <c r="K1009" s="1">
        <f t="shared" si="655"/>
        <v>1.1625535369682658</v>
      </c>
    </row>
    <row r="1010" spans="2:11" x14ac:dyDescent="0.25">
      <c r="B1010" s="5" t="str">
        <f t="shared" si="618"/>
        <v>SPS3</v>
      </c>
      <c r="C1010" s="5" t="str">
        <f t="shared" si="643"/>
        <v>CH</v>
      </c>
      <c r="D1010" t="s">
        <v>1018</v>
      </c>
      <c r="E1010" t="s">
        <v>8</v>
      </c>
      <c r="F1010" s="1">
        <f t="shared" ref="F1010:K1010" si="656">SUM(F1011:F1012)</f>
        <v>5.5864415843920018E-2</v>
      </c>
      <c r="G1010" s="1">
        <f t="shared" si="656"/>
        <v>0.2779574505946919</v>
      </c>
      <c r="H1010" s="1">
        <f t="shared" si="656"/>
        <v>0.30338740985642459</v>
      </c>
      <c r="I1010" s="1">
        <f t="shared" si="656"/>
        <v>0.34546372916744866</v>
      </c>
      <c r="J1010" s="1">
        <f t="shared" si="656"/>
        <v>6.3006813300030851E-5</v>
      </c>
      <c r="K1010" s="1">
        <f t="shared" si="656"/>
        <v>5.3810979059322623E-5</v>
      </c>
    </row>
    <row r="1011" spans="2:11" x14ac:dyDescent="0.25">
      <c r="B1011" s="5" t="str">
        <f t="shared" si="618"/>
        <v>SPS3</v>
      </c>
      <c r="C1011" s="5" t="str">
        <f t="shared" si="643"/>
        <v>CH</v>
      </c>
      <c r="D1011" t="s">
        <v>738</v>
      </c>
      <c r="E1011" t="s">
        <v>8</v>
      </c>
      <c r="F1011" s="1">
        <f>F1005*IFERROR(F$994/F$992,0)</f>
        <v>5.5864415843920018E-2</v>
      </c>
      <c r="G1011" s="1">
        <f t="shared" ref="G1011:K1011" si="657">G1005*IFERROR(G$994/G$992,0)</f>
        <v>0.2779574505946919</v>
      </c>
      <c r="H1011" s="1">
        <f t="shared" si="657"/>
        <v>0.28997883956504666</v>
      </c>
      <c r="I1011" s="1">
        <f t="shared" si="657"/>
        <v>0.2857454709629037</v>
      </c>
      <c r="J1011" s="1">
        <f t="shared" si="657"/>
        <v>3.1193838105046705E-5</v>
      </c>
      <c r="K1011" s="1">
        <f t="shared" si="657"/>
        <v>1.834868773534321E-5</v>
      </c>
    </row>
    <row r="1012" spans="2:11" x14ac:dyDescent="0.25">
      <c r="B1012" s="5" t="str">
        <f t="shared" ref="B1012:B1075" si="658">B1011</f>
        <v>SPS3</v>
      </c>
      <c r="C1012" s="5" t="str">
        <f t="shared" si="643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59">G1006*IFERROR(G$994/G$992,0)</f>
        <v>0</v>
      </c>
      <c r="H1012" s="1">
        <f t="shared" si="659"/>
        <v>1.3408570291377934E-2</v>
      </c>
      <c r="I1012" s="1">
        <f t="shared" si="659"/>
        <v>5.9718258204544954E-2</v>
      </c>
      <c r="J1012" s="1">
        <f t="shared" si="659"/>
        <v>3.1812975194984145E-5</v>
      </c>
      <c r="K1012" s="1">
        <f t="shared" si="659"/>
        <v>3.5462291323979412E-5</v>
      </c>
    </row>
    <row r="1013" spans="2:11" x14ac:dyDescent="0.25">
      <c r="B1013" s="5" t="str">
        <f t="shared" si="658"/>
        <v>SPS3</v>
      </c>
      <c r="C1013" s="5" t="str">
        <f t="shared" si="643"/>
        <v>CH</v>
      </c>
      <c r="D1013" t="s">
        <v>1019</v>
      </c>
      <c r="E1013" t="s">
        <v>8</v>
      </c>
      <c r="F1013" s="1">
        <f>[1]Residential!B$20</f>
        <v>0.10000084103655721</v>
      </c>
      <c r="G1013" s="1">
        <f>[1]Residential!C$20</f>
        <v>9.9999680684320025E-2</v>
      </c>
      <c r="H1013" s="1">
        <f>[1]Residential!D$20</f>
        <v>2.590619995005115E-2</v>
      </c>
      <c r="I1013" s="1">
        <f>[1]Residential!E$20</f>
        <v>0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58"/>
        <v>SPS3</v>
      </c>
      <c r="C1014" s="5" t="str">
        <f t="shared" si="643"/>
        <v>CH</v>
      </c>
      <c r="D1014" t="s">
        <v>1020</v>
      </c>
      <c r="E1014" t="s">
        <v>8</v>
      </c>
      <c r="F1014" s="1">
        <f>F1013</f>
        <v>0.10000084103655721</v>
      </c>
      <c r="G1014" s="1">
        <f t="shared" ref="G1014:G1015" si="660">G1013</f>
        <v>9.9999680684320025E-2</v>
      </c>
      <c r="H1014" s="1">
        <f t="shared" ref="H1014:H1015" si="661">H1013</f>
        <v>2.590619995005115E-2</v>
      </c>
      <c r="I1014" s="1">
        <f t="shared" ref="I1014:I1015" si="662">I1013</f>
        <v>0</v>
      </c>
      <c r="J1014" s="1">
        <f t="shared" ref="J1014:J1015" si="663">J1013</f>
        <v>0</v>
      </c>
      <c r="K1014" s="1">
        <f t="shared" ref="K1014:K1015" si="664">K1013</f>
        <v>0</v>
      </c>
    </row>
    <row r="1015" spans="2:11" x14ac:dyDescent="0.25">
      <c r="B1015" s="5" t="str">
        <f t="shared" si="658"/>
        <v>SPS3</v>
      </c>
      <c r="C1015" s="5" t="str">
        <f t="shared" si="643"/>
        <v>CH</v>
      </c>
      <c r="D1015" t="s">
        <v>764</v>
      </c>
      <c r="E1015" t="s">
        <v>8</v>
      </c>
      <c r="F1015" s="1">
        <f t="shared" ref="F1015" si="665">F1014</f>
        <v>0.10000084103655721</v>
      </c>
      <c r="G1015" s="1">
        <f t="shared" si="660"/>
        <v>9.9999680684320025E-2</v>
      </c>
      <c r="H1015" s="1">
        <f t="shared" si="661"/>
        <v>2.590619995005115E-2</v>
      </c>
      <c r="I1015" s="1">
        <f t="shared" si="662"/>
        <v>0</v>
      </c>
      <c r="J1015" s="1">
        <f t="shared" si="663"/>
        <v>0</v>
      </c>
      <c r="K1015" s="1">
        <f t="shared" si="664"/>
        <v>0</v>
      </c>
    </row>
    <row r="1016" spans="2:11" x14ac:dyDescent="0.25">
      <c r="B1016" s="5" t="str">
        <f t="shared" si="658"/>
        <v>SPS3</v>
      </c>
      <c r="C1016" s="5" t="str">
        <f t="shared" si="643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58"/>
        <v>SPS3</v>
      </c>
      <c r="C1017" s="5" t="str">
        <f t="shared" si="643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58"/>
        <v>SPS3</v>
      </c>
      <c r="C1018" s="5" t="str">
        <f t="shared" si="643"/>
        <v>CH</v>
      </c>
      <c r="D1018" t="s">
        <v>1022</v>
      </c>
      <c r="E1018" t="s">
        <v>8</v>
      </c>
      <c r="F1018" s="1">
        <f>F1019+F1021</f>
        <v>13.722998193458364</v>
      </c>
      <c r="G1018" s="1">
        <f t="shared" ref="G1018:K1018" si="666">G1019+G1021</f>
        <v>14.667791673999995</v>
      </c>
      <c r="H1018" s="1">
        <f t="shared" si="666"/>
        <v>16.224144353664364</v>
      </c>
      <c r="I1018" s="1">
        <f t="shared" si="666"/>
        <v>12.963733113957401</v>
      </c>
      <c r="J1018" s="1">
        <f t="shared" si="666"/>
        <v>7.5128996544957296</v>
      </c>
      <c r="K1018" s="1">
        <f t="shared" si="666"/>
        <v>3.3157633840185659</v>
      </c>
    </row>
    <row r="1019" spans="2:11" x14ac:dyDescent="0.25">
      <c r="B1019" s="5" t="str">
        <f t="shared" si="658"/>
        <v>SPS3</v>
      </c>
      <c r="C1019" s="5" t="str">
        <f t="shared" si="643"/>
        <v>CH</v>
      </c>
      <c r="D1019" t="s">
        <v>1023</v>
      </c>
      <c r="E1019" t="s">
        <v>8</v>
      </c>
      <c r="F1019" s="1">
        <f>F1020</f>
        <v>12.682053689608498</v>
      </c>
      <c r="G1019" s="1">
        <f t="shared" ref="G1019:K1019" si="667">G1020</f>
        <v>13.473308547915385</v>
      </c>
      <c r="H1019" s="1">
        <f t="shared" si="667"/>
        <v>13.841738023599017</v>
      </c>
      <c r="I1019" s="1">
        <f t="shared" si="667"/>
        <v>10.922944279373082</v>
      </c>
      <c r="J1019" s="1">
        <f t="shared" si="667"/>
        <v>6.151432245998147</v>
      </c>
      <c r="K1019" s="1">
        <f t="shared" si="667"/>
        <v>2.6244208008394505</v>
      </c>
    </row>
    <row r="1020" spans="2:11" x14ac:dyDescent="0.25">
      <c r="B1020" s="5" t="str">
        <f t="shared" si="658"/>
        <v>SPS3</v>
      </c>
      <c r="C1020" s="5" t="str">
        <f t="shared" si="643"/>
        <v>CH</v>
      </c>
      <c r="D1020" t="s">
        <v>766</v>
      </c>
      <c r="E1020" t="s">
        <v>8</v>
      </c>
      <c r="F1020" s="1">
        <f>[1]Residential!B$22-F1022-F1023</f>
        <v>12.682053689608498</v>
      </c>
      <c r="G1020" s="1">
        <f>[1]Residential!C$22-G1022-G1023</f>
        <v>13.473308547915385</v>
      </c>
      <c r="H1020" s="1">
        <f>[1]Residential!D$22-H1022-H1023</f>
        <v>13.841738023599017</v>
      </c>
      <c r="I1020" s="1">
        <f>[1]Residential!E$22-I1022-I1023</f>
        <v>10.922944279373082</v>
      </c>
      <c r="J1020" s="1">
        <f>[1]Residential!F$22-J1022-J1023</f>
        <v>6.151432245998147</v>
      </c>
      <c r="K1020" s="1">
        <f>[1]Residential!G$22-K1022-K1023</f>
        <v>2.6244208008394505</v>
      </c>
    </row>
    <row r="1021" spans="2:11" x14ac:dyDescent="0.25">
      <c r="B1021" s="5" t="str">
        <f t="shared" si="658"/>
        <v>SPS3</v>
      </c>
      <c r="C1021" s="5" t="str">
        <f t="shared" si="643"/>
        <v>CH</v>
      </c>
      <c r="D1021" t="s">
        <v>1024</v>
      </c>
      <c r="E1021" t="s">
        <v>8</v>
      </c>
      <c r="F1021" s="1">
        <f>F1022</f>
        <v>1.0409445038498661</v>
      </c>
      <c r="G1021" s="1">
        <f t="shared" ref="G1021" si="668">G1022</f>
        <v>1.1944831260846092</v>
      </c>
      <c r="H1021" s="1">
        <f t="shared" ref="H1021" si="669">H1022</f>
        <v>2.3824063300653466</v>
      </c>
      <c r="I1021" s="1">
        <f t="shared" ref="I1021" si="670">I1022</f>
        <v>2.0407888345843186</v>
      </c>
      <c r="J1021" s="1">
        <f t="shared" ref="J1021" si="671">J1022</f>
        <v>1.3614674084975826</v>
      </c>
      <c r="K1021" s="1">
        <f t="shared" ref="K1021" si="672">K1022</f>
        <v>0.69134258317911512</v>
      </c>
    </row>
    <row r="1022" spans="2:11" x14ac:dyDescent="0.25">
      <c r="B1022" s="5" t="str">
        <f t="shared" si="658"/>
        <v>SPS3</v>
      </c>
      <c r="C1022" s="5" t="str">
        <f t="shared" si="643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1.0409445038498661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1.1944831260846092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2.3824063300653466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2.0407888345843186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1.3614674084975826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0.69134258317911512</v>
      </c>
    </row>
    <row r="1023" spans="2:11" x14ac:dyDescent="0.25">
      <c r="B1023" s="5" t="str">
        <f t="shared" si="658"/>
        <v>SPS3</v>
      </c>
      <c r="C1023" s="5" t="str">
        <f t="shared" si="643"/>
        <v>CH</v>
      </c>
      <c r="D1023" t="s">
        <v>1025</v>
      </c>
      <c r="E1023" t="s">
        <v>8</v>
      </c>
      <c r="F1023" s="1">
        <f>F1024+F1026</f>
        <v>3.2682125806109807</v>
      </c>
      <c r="G1023" s="1">
        <f t="shared" ref="G1023:K1023" si="673">G1024+G1026</f>
        <v>3.8319860908283068</v>
      </c>
      <c r="H1023" s="1">
        <f t="shared" si="673"/>
        <v>0.34205201928578771</v>
      </c>
      <c r="I1023" s="1">
        <f t="shared" si="673"/>
        <v>0.29939436222792382</v>
      </c>
      <c r="J1023" s="1">
        <f t="shared" si="673"/>
        <v>0.18121537227125745</v>
      </c>
      <c r="K1023" s="1">
        <f t="shared" si="673"/>
        <v>6.8025734102078156E-2</v>
      </c>
    </row>
    <row r="1024" spans="2:11" x14ac:dyDescent="0.25">
      <c r="B1024" s="5" t="str">
        <f t="shared" si="658"/>
        <v>SPS3</v>
      </c>
      <c r="C1024" s="5" t="str">
        <f t="shared" si="643"/>
        <v>CH</v>
      </c>
      <c r="D1024" t="s">
        <v>1026</v>
      </c>
      <c r="E1024" t="s">
        <v>8</v>
      </c>
      <c r="F1024" s="1">
        <f>F1025</f>
        <v>2.9965421053141768</v>
      </c>
      <c r="G1024" s="1">
        <f t="shared" ref="G1024:K1024" si="674">G1025</f>
        <v>3.5202475334859695</v>
      </c>
      <c r="H1024" s="1">
        <f t="shared" si="674"/>
        <v>0.25740090421626949</v>
      </c>
      <c r="I1024" s="1">
        <f t="shared" si="674"/>
        <v>0.22233040154103195</v>
      </c>
      <c r="J1024" s="1">
        <f t="shared" si="674"/>
        <v>0.13080638496273972</v>
      </c>
      <c r="K1024" s="1">
        <f t="shared" si="674"/>
        <v>4.9453219226011022E-2</v>
      </c>
    </row>
    <row r="1025" spans="2:11" x14ac:dyDescent="0.25">
      <c r="B1025" s="5" t="str">
        <f t="shared" si="658"/>
        <v>SPS3</v>
      </c>
      <c r="C1025" s="5" t="str">
        <f t="shared" si="643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2.9965421053141768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3.5202475334859695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0.25740090421626949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0.22233040154103195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0.13080638496273972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4.9453219226011022E-2</v>
      </c>
    </row>
    <row r="1026" spans="2:11" x14ac:dyDescent="0.25">
      <c r="B1026" s="5" t="str">
        <f t="shared" si="658"/>
        <v>SPS3</v>
      </c>
      <c r="C1026" s="5" t="str">
        <f t="shared" si="643"/>
        <v>CH</v>
      </c>
      <c r="D1026" t="s">
        <v>1027</v>
      </c>
      <c r="E1026" t="s">
        <v>8</v>
      </c>
      <c r="F1026" s="1">
        <f>F1027</f>
        <v>0.2716704752968041</v>
      </c>
      <c r="G1026" s="1">
        <f t="shared" ref="G1026:K1026" si="675">G1027</f>
        <v>0.31173855734233713</v>
      </c>
      <c r="H1026" s="1">
        <f t="shared" si="675"/>
        <v>8.465111506951821E-2</v>
      </c>
      <c r="I1026" s="1">
        <f t="shared" si="675"/>
        <v>7.7063960686891864E-2</v>
      </c>
      <c r="J1026" s="1">
        <f t="shared" si="675"/>
        <v>5.0408987308517728E-2</v>
      </c>
      <c r="K1026" s="1">
        <f t="shared" si="675"/>
        <v>1.857251487606713E-2</v>
      </c>
    </row>
    <row r="1027" spans="2:11" x14ac:dyDescent="0.25">
      <c r="B1027" s="5" t="str">
        <f t="shared" si="658"/>
        <v>SPS3</v>
      </c>
      <c r="C1027" s="5" t="str">
        <f t="shared" si="643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0.2716704752968041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0.31173855734233713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8.465111506951821E-2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7.7063960686891864E-2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5.0408987308517728E-2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1.857251487606713E-2</v>
      </c>
    </row>
    <row r="1028" spans="2:11" x14ac:dyDescent="0.25">
      <c r="B1028" s="5" t="str">
        <f t="shared" si="658"/>
        <v>SPS3</v>
      </c>
      <c r="C1028" s="5" t="str">
        <f t="shared" si="643"/>
        <v>CH</v>
      </c>
      <c r="D1028" t="s">
        <v>1028</v>
      </c>
      <c r="E1028" t="s">
        <v>8</v>
      </c>
      <c r="F1028" s="1">
        <f>[1]Residential!B$23</f>
        <v>2.5068272513745402</v>
      </c>
      <c r="G1028" s="1">
        <f>[1]Residential!C$23</f>
        <v>2.9280129881346282</v>
      </c>
      <c r="H1028" s="1">
        <f>[1]Residential!D$23</f>
        <v>1.0090636907410762</v>
      </c>
      <c r="I1028" s="1">
        <f>[1]Residential!E$23</f>
        <v>1.4645224473542724</v>
      </c>
      <c r="J1028" s="1">
        <f>[1]Residential!F$23</f>
        <v>2.0956191091848981</v>
      </c>
      <c r="K1028" s="1">
        <f>[1]Residential!G$23</f>
        <v>2.5272444384954449</v>
      </c>
    </row>
    <row r="1029" spans="2:11" x14ac:dyDescent="0.25">
      <c r="B1029" s="5" t="str">
        <f t="shared" si="658"/>
        <v>SPS3</v>
      </c>
      <c r="C1029" s="5" t="str">
        <f t="shared" si="643"/>
        <v>CH</v>
      </c>
      <c r="D1029" t="s">
        <v>1029</v>
      </c>
      <c r="E1029" t="s">
        <v>8</v>
      </c>
      <c r="F1029" s="1">
        <f>F1030</f>
        <v>0.78533922671468948</v>
      </c>
      <c r="G1029" s="1">
        <f t="shared" ref="G1029:K1029" si="676">G1030</f>
        <v>0.94128455477003037</v>
      </c>
      <c r="H1029" s="1">
        <f t="shared" si="676"/>
        <v>3.2192552504016737E-2</v>
      </c>
      <c r="I1029" s="1">
        <f t="shared" si="676"/>
        <v>4.2151412645139913E-2</v>
      </c>
      <c r="J1029" s="1">
        <f t="shared" si="676"/>
        <v>4.7494747691427266E-2</v>
      </c>
      <c r="K1029" s="1">
        <f t="shared" si="676"/>
        <v>4.974108365151661E-2</v>
      </c>
    </row>
    <row r="1030" spans="2:11" x14ac:dyDescent="0.25">
      <c r="B1030" s="5" t="str">
        <f t="shared" si="658"/>
        <v>SPS3</v>
      </c>
      <c r="C1030" s="5" t="str">
        <f t="shared" si="643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0.78533922671468948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0.94128455477003037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3.2192552504016737E-2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4.2151412645139913E-2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4.7494747691427266E-2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4.974108365151661E-2</v>
      </c>
    </row>
    <row r="1031" spans="2:11" x14ac:dyDescent="0.25">
      <c r="B1031" s="5" t="str">
        <f t="shared" si="658"/>
        <v>SPS3</v>
      </c>
      <c r="C1031" s="5" t="str">
        <f t="shared" si="643"/>
        <v>CH</v>
      </c>
      <c r="D1031" t="s">
        <v>1030</v>
      </c>
      <c r="E1031" t="s">
        <v>8</v>
      </c>
      <c r="F1031" s="1">
        <f>F1028-F1029</f>
        <v>1.7214880246598507</v>
      </c>
      <c r="G1031" s="1">
        <f t="shared" ref="G1031:K1031" si="677">G1028-G1029</f>
        <v>1.9867284333645978</v>
      </c>
      <c r="H1031" s="1">
        <f t="shared" si="677"/>
        <v>0.9768711382370594</v>
      </c>
      <c r="I1031" s="1">
        <f t="shared" si="677"/>
        <v>1.4223710347091325</v>
      </c>
      <c r="J1031" s="1">
        <f t="shared" si="677"/>
        <v>2.0481243614934708</v>
      </c>
      <c r="K1031" s="1">
        <f t="shared" si="677"/>
        <v>2.4775033548439285</v>
      </c>
    </row>
    <row r="1032" spans="2:11" x14ac:dyDescent="0.25">
      <c r="B1032" s="5" t="str">
        <f t="shared" si="658"/>
        <v>SPS3</v>
      </c>
      <c r="C1032" s="5" t="str">
        <f t="shared" si="643"/>
        <v>CH</v>
      </c>
      <c r="D1032" t="s">
        <v>743</v>
      </c>
      <c r="E1032" t="s">
        <v>8</v>
      </c>
      <c r="F1032" s="1">
        <f>F1031</f>
        <v>1.7214880246598507</v>
      </c>
      <c r="G1032" s="1">
        <f t="shared" ref="G1032:K1032" si="678">G1031</f>
        <v>1.9867284333645978</v>
      </c>
      <c r="H1032" s="1">
        <f t="shared" si="678"/>
        <v>0.9768711382370594</v>
      </c>
      <c r="I1032" s="1">
        <f t="shared" si="678"/>
        <v>1.4223710347091325</v>
      </c>
      <c r="J1032" s="1">
        <f t="shared" si="678"/>
        <v>2.0481243614934708</v>
      </c>
      <c r="K1032" s="1">
        <f t="shared" si="678"/>
        <v>2.4775033548439285</v>
      </c>
    </row>
    <row r="1033" spans="2:11" x14ac:dyDescent="0.25">
      <c r="B1033" s="5" t="str">
        <f t="shared" si="658"/>
        <v>SPS3</v>
      </c>
      <c r="C1033" s="5" t="str">
        <f t="shared" si="643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2.6326018642135393E-2</v>
      </c>
      <c r="I1033" s="1">
        <f>[1]Residential!E$24</f>
        <v>0.93448258676085005</v>
      </c>
      <c r="J1033" s="1">
        <f>[1]Residential!F$24</f>
        <v>1.0892107167026401E-4</v>
      </c>
      <c r="K1033" s="1">
        <f>[1]Residential!G$24</f>
        <v>1.5281553269061193E-2</v>
      </c>
    </row>
    <row r="1034" spans="2:11" x14ac:dyDescent="0.25">
      <c r="B1034" s="5" t="str">
        <f t="shared" si="658"/>
        <v>SPS3</v>
      </c>
      <c r="C1034" s="5" t="str">
        <f t="shared" si="643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679">G1033-G1036-G1038</f>
        <v>0</v>
      </c>
      <c r="H1034" s="1">
        <f t="shared" si="679"/>
        <v>2.6326018642135393E-2</v>
      </c>
      <c r="I1034" s="1">
        <f t="shared" si="679"/>
        <v>0.93448258676085005</v>
      </c>
      <c r="J1034" s="1">
        <f t="shared" si="679"/>
        <v>1.0892107167026401E-4</v>
      </c>
      <c r="K1034" s="1">
        <f t="shared" si="679"/>
        <v>1.5281553269061193E-2</v>
      </c>
    </row>
    <row r="1035" spans="2:11" x14ac:dyDescent="0.25">
      <c r="B1035" s="5" t="str">
        <f t="shared" si="658"/>
        <v>SPS3</v>
      </c>
      <c r="C1035" s="5" t="str">
        <f t="shared" si="643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680">G1036+G1038</f>
        <v>0</v>
      </c>
      <c r="H1035" s="1">
        <f t="shared" si="680"/>
        <v>0</v>
      </c>
      <c r="I1035" s="1">
        <f t="shared" si="680"/>
        <v>0</v>
      </c>
      <c r="J1035" s="1">
        <f t="shared" si="680"/>
        <v>0</v>
      </c>
      <c r="K1035" s="1">
        <f t="shared" si="680"/>
        <v>0</v>
      </c>
    </row>
    <row r="1036" spans="2:11" x14ac:dyDescent="0.25">
      <c r="B1036" s="5" t="str">
        <f t="shared" si="658"/>
        <v>SPS3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681">G1037</f>
        <v>0</v>
      </c>
      <c r="H1036" s="1">
        <f t="shared" si="681"/>
        <v>0</v>
      </c>
      <c r="I1036" s="1">
        <f t="shared" si="681"/>
        <v>0</v>
      </c>
      <c r="J1036" s="1">
        <f t="shared" si="681"/>
        <v>0</v>
      </c>
      <c r="K1036" s="1">
        <f t="shared" si="681"/>
        <v>0</v>
      </c>
    </row>
    <row r="1037" spans="2:11" x14ac:dyDescent="0.25">
      <c r="B1037" s="5" t="str">
        <f t="shared" si="658"/>
        <v>SPS3</v>
      </c>
      <c r="C1037" s="5" t="str">
        <f t="shared" si="643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58"/>
        <v>SPS3</v>
      </c>
      <c r="C1038" s="5" t="str">
        <f t="shared" si="643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682">G1039</f>
        <v>0</v>
      </c>
      <c r="H1038" s="1">
        <f t="shared" si="682"/>
        <v>0</v>
      </c>
      <c r="I1038" s="1">
        <f t="shared" si="682"/>
        <v>0</v>
      </c>
      <c r="J1038" s="1">
        <f t="shared" si="682"/>
        <v>0</v>
      </c>
      <c r="K1038" s="1">
        <f t="shared" si="682"/>
        <v>0</v>
      </c>
    </row>
    <row r="1039" spans="2:11" x14ac:dyDescent="0.25">
      <c r="B1039" s="5" t="str">
        <f t="shared" si="658"/>
        <v>SPS3</v>
      </c>
      <c r="C1039" s="5" t="str">
        <f t="shared" si="643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58"/>
        <v>SPS3</v>
      </c>
      <c r="C1040" s="5" t="str">
        <f t="shared" si="643"/>
        <v>CH</v>
      </c>
      <c r="D1040" t="s">
        <v>1035</v>
      </c>
      <c r="E1040" t="s">
        <v>8</v>
      </c>
      <c r="F1040" s="1">
        <f>[1]Residential!B$21</f>
        <v>8.3541913713022264</v>
      </c>
      <c r="G1040" s="1">
        <f>[1]Residential!C$21</f>
        <v>9.690836452633425</v>
      </c>
      <c r="H1040" s="1">
        <f>[1]Residential!D$21</f>
        <v>10.161880278660485</v>
      </c>
      <c r="I1040" s="1">
        <f>[1]Residential!E$21</f>
        <v>12.189000902073628</v>
      </c>
      <c r="J1040" s="1">
        <f>[1]Residential!F$21</f>
        <v>11.493189307986201</v>
      </c>
      <c r="K1040" s="1">
        <f>[1]Residential!G$21</f>
        <v>9.995890619831421</v>
      </c>
    </row>
    <row r="1041" spans="2:13" x14ac:dyDescent="0.25">
      <c r="B1041" s="5" t="str">
        <f t="shared" si="658"/>
        <v>SPS3</v>
      </c>
      <c r="C1041" s="5" t="str">
        <f t="shared" si="643"/>
        <v>CH</v>
      </c>
      <c r="D1041" t="s">
        <v>1036</v>
      </c>
      <c r="E1041" t="s">
        <v>8</v>
      </c>
      <c r="F1041" s="1">
        <f>SUM(F1042:F1044)</f>
        <v>0.12851585535509258</v>
      </c>
      <c r="G1041" s="1">
        <f t="shared" ref="G1041:K1041" si="683">SUM(G1042:G1044)</f>
        <v>2.7295373968607681E-2</v>
      </c>
      <c r="H1041" s="1">
        <f t="shared" si="683"/>
        <v>3.6174891153967381E-2</v>
      </c>
      <c r="I1041" s="1">
        <f t="shared" si="683"/>
        <v>3.5919810239996325E-2</v>
      </c>
      <c r="J1041" s="1">
        <f t="shared" si="683"/>
        <v>3.5353948909345152</v>
      </c>
      <c r="K1041" s="1">
        <f t="shared" si="683"/>
        <v>2.1099264674505029</v>
      </c>
    </row>
    <row r="1042" spans="2:13" x14ac:dyDescent="0.25">
      <c r="B1042" s="5" t="str">
        <f t="shared" si="658"/>
        <v>SPS3</v>
      </c>
      <c r="C1042" s="5" t="str">
        <f t="shared" si="643"/>
        <v>CH</v>
      </c>
      <c r="D1042" t="s">
        <v>749</v>
      </c>
      <c r="E1042" t="s">
        <v>8</v>
      </c>
      <c r="F1042" s="1">
        <f t="shared" ref="F1042:K1043" si="684">SUM(F242,F244)</f>
        <v>0.12816399626670322</v>
      </c>
      <c r="G1042" s="1">
        <f t="shared" si="684"/>
        <v>2.6904643657025773E-2</v>
      </c>
      <c r="H1042" s="1">
        <f t="shared" si="684"/>
        <v>3.599781949701715E-2</v>
      </c>
      <c r="I1042" s="1">
        <f t="shared" si="684"/>
        <v>1.2844444888893213E-2</v>
      </c>
      <c r="J1042" s="1">
        <f t="shared" si="684"/>
        <v>3.5053419703723403</v>
      </c>
      <c r="K1042" s="1">
        <f t="shared" si="684"/>
        <v>2.0966039563805823</v>
      </c>
    </row>
    <row r="1043" spans="2:13" x14ac:dyDescent="0.25">
      <c r="B1043" s="5" t="str">
        <f t="shared" si="658"/>
        <v>SPS3</v>
      </c>
      <c r="C1043" s="5" t="str">
        <f t="shared" si="643"/>
        <v>CH</v>
      </c>
      <c r="D1043" t="s">
        <v>750</v>
      </c>
      <c r="E1043" t="s">
        <v>8</v>
      </c>
      <c r="F1043" s="1">
        <f t="shared" si="684"/>
        <v>0</v>
      </c>
      <c r="G1043" s="1">
        <f t="shared" si="684"/>
        <v>0</v>
      </c>
      <c r="H1043" s="1">
        <f t="shared" si="684"/>
        <v>0</v>
      </c>
      <c r="I1043" s="1">
        <f t="shared" si="684"/>
        <v>0</v>
      </c>
      <c r="J1043" s="1">
        <f t="shared" si="684"/>
        <v>0</v>
      </c>
      <c r="K1043" s="1">
        <f t="shared" si="684"/>
        <v>0</v>
      </c>
    </row>
    <row r="1044" spans="2:13" x14ac:dyDescent="0.25">
      <c r="B1044" s="5" t="str">
        <f t="shared" si="658"/>
        <v>SPS3</v>
      </c>
      <c r="C1044" s="5" t="str">
        <f t="shared" si="643"/>
        <v>CH</v>
      </c>
      <c r="D1044" t="s">
        <v>751</v>
      </c>
      <c r="E1044" t="s">
        <v>8</v>
      </c>
      <c r="F1044" s="1">
        <f t="shared" ref="F1044:K1044" si="685">SUM(F283,F284)</f>
        <v>3.5185908838935003E-4</v>
      </c>
      <c r="G1044" s="1">
        <f t="shared" si="685"/>
        <v>3.9073031158190952E-4</v>
      </c>
      <c r="H1044" s="1">
        <f t="shared" si="685"/>
        <v>1.7707165695022951E-4</v>
      </c>
      <c r="I1044" s="1">
        <f t="shared" si="685"/>
        <v>2.3075365351103112E-2</v>
      </c>
      <c r="J1044" s="1">
        <f t="shared" si="685"/>
        <v>3.005292056217479E-2</v>
      </c>
      <c r="K1044" s="1">
        <f t="shared" si="685"/>
        <v>1.3322511069920686E-2</v>
      </c>
    </row>
    <row r="1045" spans="2:13" x14ac:dyDescent="0.25">
      <c r="B1045" s="5" t="str">
        <f t="shared" si="658"/>
        <v>SPS3</v>
      </c>
      <c r="C1045" s="5" t="str">
        <f t="shared" si="643"/>
        <v>CH</v>
      </c>
      <c r="D1045" t="s">
        <v>1037</v>
      </c>
      <c r="E1045" t="s">
        <v>8</v>
      </c>
      <c r="F1045" s="1">
        <f>F1040-F1041</f>
        <v>8.2256755159471346</v>
      </c>
      <c r="G1045" s="1">
        <f t="shared" ref="G1045:K1045" si="686">G1040-G1041</f>
        <v>9.6635410786648173</v>
      </c>
      <c r="H1045" s="1">
        <f t="shared" si="686"/>
        <v>10.125705387506517</v>
      </c>
      <c r="I1045" s="1">
        <f t="shared" si="686"/>
        <v>12.153081091833632</v>
      </c>
      <c r="J1045" s="1">
        <f t="shared" si="686"/>
        <v>7.9577944170516854</v>
      </c>
      <c r="K1045" s="1">
        <f t="shared" si="686"/>
        <v>7.8859641523809181</v>
      </c>
    </row>
    <row r="1046" spans="2:13" x14ac:dyDescent="0.25">
      <c r="B1046" s="5" t="str">
        <f t="shared" si="658"/>
        <v>SPS3</v>
      </c>
      <c r="C1046" s="5" t="str">
        <f t="shared" si="643"/>
        <v>CH</v>
      </c>
      <c r="D1046" t="s">
        <v>1038</v>
      </c>
      <c r="E1046" t="s">
        <v>8</v>
      </c>
      <c r="F1046" s="1">
        <f>[1]Residential!B$25</f>
        <v>15.194987936662777</v>
      </c>
      <c r="G1046" s="1">
        <f>[1]Residential!C$25</f>
        <v>17.635920275478163</v>
      </c>
      <c r="H1046" s="1">
        <f>[1]Residential!D$25</f>
        <v>26.708113361769481</v>
      </c>
      <c r="I1046" s="1">
        <f>[1]Residential!E$25</f>
        <v>45.869728830209574</v>
      </c>
      <c r="J1046" s="1">
        <f>[1]Residential!F$25</f>
        <v>65.752962034391032</v>
      </c>
      <c r="K1046" s="1">
        <f>[1]Residential!G$25</f>
        <v>65.389044388798396</v>
      </c>
    </row>
    <row r="1047" spans="2:13" x14ac:dyDescent="0.25">
      <c r="B1047" s="5" t="str">
        <f t="shared" si="658"/>
        <v>SPS3</v>
      </c>
      <c r="C1047" s="5" t="str">
        <f t="shared" si="643"/>
        <v>CH</v>
      </c>
      <c r="D1047" t="s">
        <v>1039</v>
      </c>
      <c r="E1047" t="s">
        <v>8</v>
      </c>
      <c r="F1047" s="1">
        <f>F1046-F1050</f>
        <v>13.103988240753576</v>
      </c>
      <c r="G1047" s="1">
        <f t="shared" ref="G1047:K1047" si="687">G1046-G1050</f>
        <v>15.286892422457107</v>
      </c>
      <c r="H1047" s="1">
        <f t="shared" si="687"/>
        <v>23.813911984172286</v>
      </c>
      <c r="I1047" s="1">
        <f t="shared" si="687"/>
        <v>39.559697132659245</v>
      </c>
      <c r="J1047" s="1">
        <f t="shared" si="687"/>
        <v>54.111419266552097</v>
      </c>
      <c r="K1047" s="1">
        <f t="shared" si="687"/>
        <v>51.52596901053807</v>
      </c>
      <c r="M1047" s="1"/>
    </row>
    <row r="1048" spans="2:13" x14ac:dyDescent="0.25">
      <c r="B1048" s="5" t="str">
        <f t="shared" si="658"/>
        <v>SPS3</v>
      </c>
      <c r="C1048" s="5" t="str">
        <f t="shared" si="643"/>
        <v>CH</v>
      </c>
      <c r="D1048" t="s">
        <v>752</v>
      </c>
      <c r="E1048" t="s">
        <v>8</v>
      </c>
      <c r="F1048" s="1">
        <f>F1047-F1049</f>
        <v>13.103988240753576</v>
      </c>
      <c r="G1048" s="1">
        <f t="shared" ref="G1048:K1048" si="688">G1047-G1049</f>
        <v>15.286892422457107</v>
      </c>
      <c r="H1048" s="1">
        <f t="shared" si="688"/>
        <v>21.990317856664458</v>
      </c>
      <c r="I1048" s="1">
        <f t="shared" si="688"/>
        <v>36.201902703041938</v>
      </c>
      <c r="J1048" s="1">
        <f t="shared" si="688"/>
        <v>49.423371106705041</v>
      </c>
      <c r="K1048" s="1">
        <f t="shared" si="688"/>
        <v>47.558958297190692</v>
      </c>
    </row>
    <row r="1049" spans="2:13" x14ac:dyDescent="0.25">
      <c r="B1049" s="5" t="str">
        <f t="shared" si="658"/>
        <v>SPS3</v>
      </c>
      <c r="C1049" s="5" t="str">
        <f t="shared" si="643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1.8235941275078278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3.3577944296173108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4.6880481598470567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3.9670107133473786</v>
      </c>
      <c r="M1049" s="20"/>
    </row>
    <row r="1050" spans="2:13" x14ac:dyDescent="0.25">
      <c r="B1050" s="5" t="str">
        <f t="shared" si="658"/>
        <v>SPS3</v>
      </c>
      <c r="C1050" s="5" t="str">
        <f t="shared" si="643"/>
        <v>CH</v>
      </c>
      <c r="D1050" t="s">
        <v>1040</v>
      </c>
      <c r="E1050" t="s">
        <v>8</v>
      </c>
      <c r="F1050" s="1">
        <f>SUM(F1051:F1052)</f>
        <v>2.0909996959092014</v>
      </c>
      <c r="G1050" s="1">
        <f t="shared" ref="G1050:K1050" si="689">SUM(G1051:G1052)</f>
        <v>2.349027853021056</v>
      </c>
      <c r="H1050" s="1">
        <f t="shared" si="689"/>
        <v>2.8942013775971933</v>
      </c>
      <c r="I1050" s="1">
        <f t="shared" si="689"/>
        <v>6.310031697550329</v>
      </c>
      <c r="J1050" s="1">
        <f t="shared" si="689"/>
        <v>11.641542767838935</v>
      </c>
      <c r="K1050" s="1">
        <f t="shared" si="689"/>
        <v>13.863075378260325</v>
      </c>
    </row>
    <row r="1051" spans="2:13" x14ac:dyDescent="0.25">
      <c r="B1051" s="5" t="str">
        <f t="shared" si="658"/>
        <v>SPS3</v>
      </c>
      <c r="C1051" s="5" t="str">
        <f t="shared" si="643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2.0909996959092014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2.349027853021056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2.4364644316026101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5.078496034764755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9.2470746283745058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11.258273723199604</v>
      </c>
    </row>
    <row r="1052" spans="2:13" x14ac:dyDescent="0.25">
      <c r="B1052" s="5" t="str">
        <f t="shared" si="658"/>
        <v>SPS3</v>
      </c>
      <c r="C1052" s="5" t="str">
        <f t="shared" si="643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0.45773694599458331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1.2315356627855745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2.39446813946443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2.6048016550607205</v>
      </c>
    </row>
    <row r="1053" spans="2:13" x14ac:dyDescent="0.25">
      <c r="B1053" s="5" t="str">
        <f t="shared" si="658"/>
        <v>SPS3</v>
      </c>
      <c r="C1053" s="5" t="str">
        <f t="shared" si="643"/>
        <v>CH</v>
      </c>
      <c r="D1053" s="2" t="s">
        <v>756</v>
      </c>
      <c r="E1053" t="s">
        <v>8</v>
      </c>
      <c r="F1053" s="3">
        <f>[1]Residential!B$245</f>
        <v>156.01388878357574</v>
      </c>
      <c r="G1053" s="3">
        <f>[1]Residential!C$245</f>
        <v>162.34075980002285</v>
      </c>
      <c r="H1053" s="3">
        <f>[1]Residential!D$245</f>
        <v>144.96543569198604</v>
      </c>
      <c r="I1053" s="3">
        <f>[1]Residential!E$245</f>
        <v>144.05013943678799</v>
      </c>
      <c r="J1053" s="3">
        <f>[1]Residential!F$245</f>
        <v>142.68881076382846</v>
      </c>
      <c r="K1053" s="3">
        <f>[1]Residential!G$245</f>
        <v>140.20539675873914</v>
      </c>
    </row>
    <row r="1054" spans="2:13" x14ac:dyDescent="0.25">
      <c r="B1054" s="5" t="str">
        <f t="shared" si="658"/>
        <v>SPS3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129.03556189708493</v>
      </c>
      <c r="G1054" s="1">
        <f>[1]Residential!C$116</f>
        <v>136.41060176280459</v>
      </c>
      <c r="H1054" s="1">
        <f>[1]Residential!D$116</f>
        <v>123.712066142532</v>
      </c>
      <c r="I1054" s="1">
        <f>[1]Residential!E$116</f>
        <v>122.0088349806138</v>
      </c>
      <c r="J1054" s="1">
        <f>[1]Residential!F$116</f>
        <v>116.27332409791359</v>
      </c>
      <c r="K1054" s="1">
        <f>[1]Residential!G$116</f>
        <v>112.63129410043095</v>
      </c>
    </row>
    <row r="1055" spans="2:13" x14ac:dyDescent="0.25">
      <c r="B1055" s="5" t="str">
        <f t="shared" si="658"/>
        <v>SPS3</v>
      </c>
      <c r="C1055" s="5" t="str">
        <f t="shared" ref="C1055:C1105" si="690">C1054</f>
        <v>CH</v>
      </c>
      <c r="D1055" t="s">
        <v>1116</v>
      </c>
      <c r="E1055" t="s">
        <v>8</v>
      </c>
      <c r="F1055" s="1">
        <f>SUM(F1056:F1057)</f>
        <v>27.968360428535977</v>
      </c>
      <c r="G1055" s="1">
        <f t="shared" ref="G1055:K1055" si="691">SUM(G1056:G1057)</f>
        <v>28.444721108002103</v>
      </c>
      <c r="H1055" s="1">
        <f t="shared" si="691"/>
        <v>33.693840106198529</v>
      </c>
      <c r="I1055" s="1">
        <f t="shared" si="691"/>
        <v>51.586299861026255</v>
      </c>
      <c r="J1055" s="1">
        <f t="shared" si="691"/>
        <v>67.340124524662031</v>
      </c>
      <c r="K1055" s="1">
        <f t="shared" si="691"/>
        <v>62.651416133831503</v>
      </c>
    </row>
    <row r="1056" spans="2:13" x14ac:dyDescent="0.25">
      <c r="B1056" s="5" t="str">
        <f t="shared" si="658"/>
        <v>SPS3</v>
      </c>
      <c r="C1056" s="5" t="str">
        <f t="shared" si="690"/>
        <v>CH</v>
      </c>
      <c r="D1056" t="s">
        <v>1117</v>
      </c>
      <c r="E1056" t="s">
        <v>8</v>
      </c>
      <c r="F1056" s="1">
        <f>[1]Residential!B$102</f>
        <v>8.9080139730102026</v>
      </c>
      <c r="G1056" s="1">
        <f>[1]Residential!C$102</f>
        <v>6.373704886187241</v>
      </c>
      <c r="H1056" s="1">
        <f>[1]Residential!D$102</f>
        <v>0.81149253635308982</v>
      </c>
      <c r="I1056" s="1">
        <f>[1]Residential!E$102</f>
        <v>0.14469135256452201</v>
      </c>
      <c r="J1056" s="1">
        <f>[1]Residential!F$102</f>
        <v>1.1418892330621508E-2</v>
      </c>
      <c r="K1056" s="1">
        <f>[1]Residential!G$102</f>
        <v>6.4240302736488673E-3</v>
      </c>
    </row>
    <row r="1057" spans="2:11" x14ac:dyDescent="0.25">
      <c r="B1057" s="5" t="str">
        <f t="shared" si="658"/>
        <v>SPS3</v>
      </c>
      <c r="C1057" s="5" t="str">
        <f t="shared" si="690"/>
        <v>CH</v>
      </c>
      <c r="D1057" t="s">
        <v>1118</v>
      </c>
      <c r="E1057" t="s">
        <v>8</v>
      </c>
      <c r="F1057" s="1">
        <f>[1]Residential!B$104</f>
        <v>19.060346455525774</v>
      </c>
      <c r="G1057" s="1">
        <f>[1]Residential!C$104</f>
        <v>22.071016221814862</v>
      </c>
      <c r="H1057" s="1">
        <f>[1]Residential!D$104</f>
        <v>32.882347569845436</v>
      </c>
      <c r="I1057" s="1">
        <f>[1]Residential!E$104</f>
        <v>51.441608508461734</v>
      </c>
      <c r="J1057" s="1">
        <f>[1]Residential!F$104</f>
        <v>67.328705632331406</v>
      </c>
      <c r="K1057" s="1">
        <f>[1]Residential!G$104</f>
        <v>62.644992103557854</v>
      </c>
    </row>
    <row r="1058" spans="2:11" x14ac:dyDescent="0.25">
      <c r="B1058" s="5" t="str">
        <f t="shared" si="658"/>
        <v>SPS3</v>
      </c>
      <c r="C1058" s="5" t="str">
        <f t="shared" si="690"/>
        <v>CH</v>
      </c>
      <c r="D1058" t="s">
        <v>1047</v>
      </c>
      <c r="E1058" t="s">
        <v>8</v>
      </c>
      <c r="F1058" s="1">
        <f>F1059</f>
        <v>45.124396277109128</v>
      </c>
      <c r="G1058" s="1">
        <f t="shared" ref="G1058:K1058" si="692">G1059</f>
        <v>39.025739303500814</v>
      </c>
      <c r="H1058" s="1">
        <f t="shared" si="692"/>
        <v>32.905673890881154</v>
      </c>
      <c r="I1058" s="1">
        <f t="shared" si="692"/>
        <v>15.175959916171127</v>
      </c>
      <c r="J1058" s="1">
        <f t="shared" si="692"/>
        <v>1.9670019352637871</v>
      </c>
      <c r="K1058" s="1">
        <f t="shared" si="692"/>
        <v>0.12401817006610999</v>
      </c>
    </row>
    <row r="1059" spans="2:11" x14ac:dyDescent="0.25">
      <c r="B1059" s="5" t="str">
        <f t="shared" si="658"/>
        <v>SPS3</v>
      </c>
      <c r="C1059" s="5" t="str">
        <f t="shared" si="690"/>
        <v>CH</v>
      </c>
      <c r="D1059" t="s">
        <v>1048</v>
      </c>
      <c r="E1059" t="s">
        <v>8</v>
      </c>
      <c r="F1059" s="1">
        <f>[1]Residential!B$105</f>
        <v>45.124396277109128</v>
      </c>
      <c r="G1059" s="1">
        <f>[1]Residential!C$105</f>
        <v>39.025739303500814</v>
      </c>
      <c r="H1059" s="1">
        <f>[1]Residential!D$105</f>
        <v>32.905673890881154</v>
      </c>
      <c r="I1059" s="1">
        <f>[1]Residential!E$105</f>
        <v>15.175959916171127</v>
      </c>
      <c r="J1059" s="1">
        <f>[1]Residential!F$105</f>
        <v>1.9670019352637871</v>
      </c>
      <c r="K1059" s="1">
        <f>[1]Residential!G$105</f>
        <v>0.12401817006610999</v>
      </c>
    </row>
    <row r="1060" spans="2:11" x14ac:dyDescent="0.25">
      <c r="B1060" s="5" t="str">
        <f t="shared" si="658"/>
        <v>SPS3</v>
      </c>
      <c r="C1060" s="5" t="str">
        <f t="shared" si="690"/>
        <v>CH</v>
      </c>
      <c r="D1060" t="s">
        <v>1049</v>
      </c>
      <c r="E1060" t="s">
        <v>8</v>
      </c>
      <c r="F1060" s="1">
        <f>SUM(F1061:F1062)</f>
        <v>36.569926419697055</v>
      </c>
      <c r="G1060" s="1">
        <f t="shared" ref="G1060:K1060" si="693">SUM(G1061:G1062)</f>
        <v>38.848877247635187</v>
      </c>
      <c r="H1060" s="1">
        <f t="shared" si="693"/>
        <v>34.640849848509539</v>
      </c>
      <c r="I1060" s="1">
        <f t="shared" si="693"/>
        <v>26.848842503320579</v>
      </c>
      <c r="J1060" s="1">
        <f t="shared" si="693"/>
        <v>12.704868788301958</v>
      </c>
      <c r="K1060" s="1">
        <f t="shared" si="693"/>
        <v>8.8680823767113655</v>
      </c>
    </row>
    <row r="1061" spans="2:11" x14ac:dyDescent="0.25">
      <c r="B1061" s="5" t="str">
        <f t="shared" si="658"/>
        <v>SPS3</v>
      </c>
      <c r="C1061" s="5" t="str">
        <f t="shared" si="690"/>
        <v>CH</v>
      </c>
      <c r="D1061" t="s">
        <v>1050</v>
      </c>
      <c r="E1061" t="s">
        <v>8</v>
      </c>
      <c r="F1061" s="1">
        <f>[1]Residential!B$106</f>
        <v>36.569926419697055</v>
      </c>
      <c r="G1061" s="1">
        <f>[1]Residential!C$106</f>
        <v>38.848877247635187</v>
      </c>
      <c r="H1061" s="1">
        <f>[1]Residential!D$106</f>
        <v>30.703749631826</v>
      </c>
      <c r="I1061" s="1">
        <f>[1]Residential!E$106</f>
        <v>19.986921542747965</v>
      </c>
      <c r="J1061" s="1">
        <f>[1]Residential!F$106</f>
        <v>3.5075809143765992</v>
      </c>
      <c r="K1061" s="1">
        <f>[1]Residential!G$106</f>
        <v>1.4136415239890261</v>
      </c>
    </row>
    <row r="1062" spans="2:11" x14ac:dyDescent="0.25">
      <c r="B1062" s="5" t="str">
        <f t="shared" si="658"/>
        <v>SPS3</v>
      </c>
      <c r="C1062" s="5" t="str">
        <f t="shared" si="690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3.9371002166835418</v>
      </c>
      <c r="I1062" s="1">
        <f>[1]Residential!E$107</f>
        <v>6.8619209605726148</v>
      </c>
      <c r="J1062" s="1">
        <f>[1]Residential!F$107</f>
        <v>9.1972878739253581</v>
      </c>
      <c r="K1062" s="1">
        <f>[1]Residential!G$107</f>
        <v>7.4544408527223398</v>
      </c>
    </row>
    <row r="1063" spans="2:11" x14ac:dyDescent="0.25">
      <c r="B1063" s="5" t="str">
        <f t="shared" si="658"/>
        <v>SPS3</v>
      </c>
      <c r="C1063" s="5" t="str">
        <f t="shared" si="690"/>
        <v>CH</v>
      </c>
      <c r="D1063" t="s">
        <v>1052</v>
      </c>
      <c r="E1063" t="s">
        <v>8</v>
      </c>
      <c r="F1063" s="1">
        <f>F1064</f>
        <v>7.200060554632122E-2</v>
      </c>
      <c r="G1063" s="1">
        <f t="shared" ref="G1063:K1063" si="694">G1064</f>
        <v>7.1999770092710483E-2</v>
      </c>
      <c r="H1063" s="1">
        <f t="shared" si="694"/>
        <v>2.0675211482610711E-2</v>
      </c>
      <c r="I1063" s="1">
        <f t="shared" si="694"/>
        <v>0</v>
      </c>
      <c r="J1063" s="1">
        <f t="shared" si="694"/>
        <v>0</v>
      </c>
      <c r="K1063" s="1">
        <f t="shared" si="694"/>
        <v>0</v>
      </c>
    </row>
    <row r="1064" spans="2:11" x14ac:dyDescent="0.25">
      <c r="B1064" s="5" t="str">
        <f t="shared" si="658"/>
        <v>SPS3</v>
      </c>
      <c r="C1064" s="5" t="str">
        <f t="shared" si="690"/>
        <v>CH</v>
      </c>
      <c r="D1064" t="s">
        <v>1053</v>
      </c>
      <c r="E1064" t="s">
        <v>8</v>
      </c>
      <c r="F1064" s="1">
        <f>[1]Residential!B$108</f>
        <v>7.200060554632122E-2</v>
      </c>
      <c r="G1064" s="1">
        <f>[1]Residential!C$108</f>
        <v>7.1999770092710483E-2</v>
      </c>
      <c r="H1064" s="1">
        <f>[1]Residential!D$108</f>
        <v>2.0675211482610711E-2</v>
      </c>
      <c r="I1064" s="1">
        <f>[1]Residential!E$108</f>
        <v>0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658"/>
        <v>SPS3</v>
      </c>
      <c r="C1065" s="5" t="str">
        <f t="shared" si="690"/>
        <v>CH</v>
      </c>
      <c r="D1065" t="s">
        <v>1054</v>
      </c>
      <c r="E1065" t="s">
        <v>8</v>
      </c>
      <c r="F1065" s="1">
        <f>SUM([1]Residential!B$109:B$110)</f>
        <v>6.577296615213224</v>
      </c>
      <c r="G1065" s="1">
        <f>SUM([1]Residential!C$109:C$110)</f>
        <v>7.7173166233131072</v>
      </c>
      <c r="H1065" s="1">
        <f>SUM([1]Residential!D$109:D$110)</f>
        <v>7.0823774824253096</v>
      </c>
      <c r="I1065" s="1">
        <f>SUM([1]Residential!E$109:E$110)</f>
        <v>8.372915020865916</v>
      </c>
      <c r="J1065" s="1">
        <f>SUM([1]Residential!F$109:F$110)</f>
        <v>7.6161963219048898</v>
      </c>
      <c r="K1065" s="1">
        <f>SUM([1]Residential!G$109:G$110)</f>
        <v>6.3789492610027381</v>
      </c>
    </row>
    <row r="1066" spans="2:11" x14ac:dyDescent="0.25">
      <c r="B1066" s="5" t="str">
        <f t="shared" si="658"/>
        <v>SPS3</v>
      </c>
      <c r="C1066" s="5" t="str">
        <f t="shared" si="690"/>
        <v>CH</v>
      </c>
      <c r="D1066" t="s">
        <v>1055</v>
      </c>
      <c r="E1066" t="s">
        <v>8</v>
      </c>
      <c r="F1066" s="1">
        <f>[1]Residential!B$109</f>
        <v>7.9053410435770174E-2</v>
      </c>
      <c r="G1066" s="1">
        <f>[1]Residential!C$109</f>
        <v>2.4270440258357926E-2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25">
      <c r="B1067" s="5" t="str">
        <f t="shared" si="658"/>
        <v>SPS3</v>
      </c>
      <c r="C1067" s="5" t="str">
        <f t="shared" si="690"/>
        <v>CH</v>
      </c>
      <c r="D1067" t="s">
        <v>1056</v>
      </c>
      <c r="E1067" t="s">
        <v>8</v>
      </c>
      <c r="F1067" s="1">
        <f>IFERROR(F$1066/F$1041,0)*F1042</f>
        <v>7.8836972854172599E-2</v>
      </c>
      <c r="G1067" s="1">
        <f t="shared" ref="G1067:K1067" si="695">IFERROR(G$1066/G$1041,0)*G1042</f>
        <v>2.3923011544053265E-2</v>
      </c>
      <c r="H1067" s="1">
        <f t="shared" si="695"/>
        <v>0</v>
      </c>
      <c r="I1067" s="1">
        <f t="shared" si="695"/>
        <v>0</v>
      </c>
      <c r="J1067" s="1">
        <f t="shared" si="695"/>
        <v>0</v>
      </c>
      <c r="K1067" s="1">
        <f t="shared" si="695"/>
        <v>0</v>
      </c>
    </row>
    <row r="1068" spans="2:11" x14ac:dyDescent="0.25">
      <c r="B1068" s="5" t="str">
        <f t="shared" si="658"/>
        <v>SPS3</v>
      </c>
      <c r="C1068" s="5" t="str">
        <f t="shared" si="690"/>
        <v>CH</v>
      </c>
      <c r="D1068" t="s">
        <v>1057</v>
      </c>
      <c r="E1068" t="s">
        <v>8</v>
      </c>
      <c r="F1068" s="1">
        <f t="shared" ref="F1068:K1068" si="696">IFERROR(F$1066/F$1041,0)*F1043</f>
        <v>0</v>
      </c>
      <c r="G1068" s="1">
        <f t="shared" si="696"/>
        <v>0</v>
      </c>
      <c r="H1068" s="1">
        <f t="shared" si="696"/>
        <v>0</v>
      </c>
      <c r="I1068" s="1">
        <f t="shared" si="696"/>
        <v>0</v>
      </c>
      <c r="J1068" s="1">
        <f t="shared" si="696"/>
        <v>0</v>
      </c>
      <c r="K1068" s="1">
        <f t="shared" si="696"/>
        <v>0</v>
      </c>
    </row>
    <row r="1069" spans="2:11" x14ac:dyDescent="0.25">
      <c r="B1069" s="5" t="str">
        <f t="shared" si="658"/>
        <v>SPS3</v>
      </c>
      <c r="C1069" s="5" t="str">
        <f t="shared" si="690"/>
        <v>CH</v>
      </c>
      <c r="D1069" t="s">
        <v>1058</v>
      </c>
      <c r="E1069" t="s">
        <v>8</v>
      </c>
      <c r="F1069" s="1">
        <f t="shared" ref="F1069:K1069" si="697">IFERROR(F$1066/F$1041,0)*F1044</f>
        <v>2.16437581597569E-4</v>
      </c>
      <c r="G1069" s="1">
        <f t="shared" si="697"/>
        <v>3.4742871430466223E-4</v>
      </c>
      <c r="H1069" s="1">
        <f t="shared" si="697"/>
        <v>0</v>
      </c>
      <c r="I1069" s="1">
        <f t="shared" si="697"/>
        <v>0</v>
      </c>
      <c r="J1069" s="1">
        <f t="shared" si="697"/>
        <v>0</v>
      </c>
      <c r="K1069" s="1">
        <f t="shared" si="697"/>
        <v>0</v>
      </c>
    </row>
    <row r="1070" spans="2:11" x14ac:dyDescent="0.25">
      <c r="B1070" s="5" t="str">
        <f t="shared" si="658"/>
        <v>SPS3</v>
      </c>
      <c r="C1070" s="5" t="str">
        <f t="shared" si="690"/>
        <v>CH</v>
      </c>
      <c r="D1070" t="s">
        <v>1059</v>
      </c>
      <c r="E1070" t="s">
        <v>8</v>
      </c>
      <c r="F1070" s="1">
        <f>F1065-F1066</f>
        <v>6.4982432047774541</v>
      </c>
      <c r="G1070" s="1">
        <f t="shared" ref="G1070:K1070" si="698">G1065-G1066</f>
        <v>7.693046183054749</v>
      </c>
      <c r="H1070" s="1">
        <f t="shared" si="698"/>
        <v>7.0823774824253096</v>
      </c>
      <c r="I1070" s="1">
        <f t="shared" si="698"/>
        <v>8.372915020865916</v>
      </c>
      <c r="J1070" s="1">
        <f t="shared" si="698"/>
        <v>7.6161963219048898</v>
      </c>
      <c r="K1070" s="1">
        <f t="shared" si="698"/>
        <v>6.3789492610027381</v>
      </c>
    </row>
    <row r="1071" spans="2:11" x14ac:dyDescent="0.25">
      <c r="B1071" s="5" t="str">
        <f t="shared" si="658"/>
        <v>SPS3</v>
      </c>
      <c r="C1071" s="5" t="str">
        <f t="shared" si="690"/>
        <v>CH</v>
      </c>
      <c r="D1071" t="s">
        <v>1060</v>
      </c>
      <c r="E1071" t="s">
        <v>8</v>
      </c>
      <c r="F1071" s="1">
        <f>F1072</f>
        <v>9.1310786565181168</v>
      </c>
      <c r="G1071" s="1">
        <f t="shared" ref="G1071:K1071" si="699">G1072</f>
        <v>9.7007821544990787</v>
      </c>
      <c r="H1071" s="1">
        <f t="shared" si="699"/>
        <v>9.8842831984216755</v>
      </c>
      <c r="I1071" s="1">
        <f t="shared" si="699"/>
        <v>7.8790429719428259</v>
      </c>
      <c r="J1071" s="1">
        <f t="shared" si="699"/>
        <v>4.4681345042497256</v>
      </c>
      <c r="K1071" s="1">
        <f t="shared" si="699"/>
        <v>1.9849216521401223</v>
      </c>
    </row>
    <row r="1072" spans="2:11" x14ac:dyDescent="0.25">
      <c r="B1072" s="5" t="str">
        <f t="shared" si="658"/>
        <v>SPS3</v>
      </c>
      <c r="C1072" s="5" t="str">
        <f t="shared" si="690"/>
        <v>CH</v>
      </c>
      <c r="D1072" t="s">
        <v>1061</v>
      </c>
      <c r="E1072" t="s">
        <v>8</v>
      </c>
      <c r="F1072" s="1">
        <f>[1]Residential!B$111</f>
        <v>9.1310786565181168</v>
      </c>
      <c r="G1072" s="1">
        <f>[1]Residential!C$111</f>
        <v>9.7007821544990787</v>
      </c>
      <c r="H1072" s="1">
        <f>[1]Residential!D$111</f>
        <v>9.8842831984216755</v>
      </c>
      <c r="I1072" s="1">
        <f>[1]Residential!E$111</f>
        <v>7.8790429719428259</v>
      </c>
      <c r="J1072" s="1">
        <f>[1]Residential!F$111</f>
        <v>4.4681345042497256</v>
      </c>
      <c r="K1072" s="1">
        <f>[1]Residential!G$111</f>
        <v>1.9849216521401223</v>
      </c>
    </row>
    <row r="1073" spans="2:11" x14ac:dyDescent="0.25">
      <c r="B1073" s="5" t="str">
        <f t="shared" si="658"/>
        <v>SPS3</v>
      </c>
      <c r="C1073" s="5" t="str">
        <f t="shared" si="690"/>
        <v>CH</v>
      </c>
      <c r="D1073" t="s">
        <v>1062</v>
      </c>
      <c r="E1073" t="s">
        <v>8</v>
      </c>
      <c r="F1073" s="1">
        <f>F1074</f>
        <v>2.6968878947827584</v>
      </c>
      <c r="G1073" s="1">
        <f t="shared" ref="G1073:K1073" si="700">G1074</f>
        <v>3.1682227801373704</v>
      </c>
      <c r="H1073" s="1">
        <f t="shared" si="700"/>
        <v>0.18588227467503601</v>
      </c>
      <c r="I1073" s="1">
        <f t="shared" si="700"/>
        <v>0.16071367341520915</v>
      </c>
      <c r="J1073" s="1">
        <f t="shared" si="700"/>
        <v>9.4617875687907124E-2</v>
      </c>
      <c r="K1073" s="1">
        <f t="shared" si="700"/>
        <v>3.6963758070778077E-2</v>
      </c>
    </row>
    <row r="1074" spans="2:11" x14ac:dyDescent="0.25">
      <c r="B1074" s="5" t="str">
        <f t="shared" si="658"/>
        <v>SPS3</v>
      </c>
      <c r="C1074" s="5" t="str">
        <f t="shared" si="690"/>
        <v>CH</v>
      </c>
      <c r="D1074" t="s">
        <v>1063</v>
      </c>
      <c r="E1074" t="s">
        <v>8</v>
      </c>
      <c r="F1074" s="1">
        <f>[1]Residential!B$112</f>
        <v>2.6968878947827584</v>
      </c>
      <c r="G1074" s="1">
        <f>[1]Residential!C$112</f>
        <v>3.1682227801373704</v>
      </c>
      <c r="H1074" s="1">
        <f>[1]Residential!D$112</f>
        <v>0.18588227467503601</v>
      </c>
      <c r="I1074" s="1">
        <f>[1]Residential!E$112</f>
        <v>0.16071367341520915</v>
      </c>
      <c r="J1074" s="1">
        <f>[1]Residential!F$112</f>
        <v>9.4617875687907124E-2</v>
      </c>
      <c r="K1074" s="1">
        <f>[1]Residential!G$112</f>
        <v>3.6963758070778077E-2</v>
      </c>
    </row>
    <row r="1075" spans="2:11" x14ac:dyDescent="0.25">
      <c r="B1075" s="5" t="str">
        <f t="shared" si="658"/>
        <v>SPS3</v>
      </c>
      <c r="C1075" s="5" t="str">
        <f t="shared" si="690"/>
        <v>CH</v>
      </c>
      <c r="D1075" t="s">
        <v>1064</v>
      </c>
      <c r="E1075" t="s">
        <v>8</v>
      </c>
      <c r="F1075" s="1">
        <f>F1076</f>
        <v>0.78533922671468948</v>
      </c>
      <c r="G1075" s="1">
        <f t="shared" ref="G1075:K1075" si="701">G1076</f>
        <v>0.94128455477003037</v>
      </c>
      <c r="H1075" s="1">
        <f t="shared" si="701"/>
        <v>3.219255250401673E-2</v>
      </c>
      <c r="I1075" s="1">
        <f t="shared" si="701"/>
        <v>4.2151412645139913E-2</v>
      </c>
      <c r="J1075" s="1">
        <f t="shared" si="701"/>
        <v>4.749474769142726E-2</v>
      </c>
      <c r="K1075" s="1">
        <f t="shared" si="701"/>
        <v>4.9741083651516617E-2</v>
      </c>
    </row>
    <row r="1076" spans="2:11" x14ac:dyDescent="0.25">
      <c r="B1076" s="5" t="str">
        <f t="shared" ref="B1076:B1139" si="702">B1075</f>
        <v>SPS3</v>
      </c>
      <c r="C1076" s="5" t="str">
        <f t="shared" si="690"/>
        <v>CH</v>
      </c>
      <c r="D1076" t="s">
        <v>1065</v>
      </c>
      <c r="E1076" t="s">
        <v>8</v>
      </c>
      <c r="F1076" s="1">
        <f>[1]Residential!B$113</f>
        <v>0.78533922671468948</v>
      </c>
      <c r="G1076" s="1">
        <f>[1]Residential!C$113</f>
        <v>0.94128455477003037</v>
      </c>
      <c r="H1076" s="1">
        <f>[1]Residential!D$113</f>
        <v>3.219255250401673E-2</v>
      </c>
      <c r="I1076" s="1">
        <f>[1]Residential!E$113</f>
        <v>4.2151412645139913E-2</v>
      </c>
      <c r="J1076" s="1">
        <f>[1]Residential!F$113</f>
        <v>4.749474769142726E-2</v>
      </c>
      <c r="K1076" s="1">
        <f>[1]Residential!G$113</f>
        <v>4.9741083651516617E-2</v>
      </c>
    </row>
    <row r="1077" spans="2:11" x14ac:dyDescent="0.25">
      <c r="B1077" s="5" t="str">
        <f t="shared" si="702"/>
        <v>SPS3</v>
      </c>
      <c r="C1077" s="5" t="str">
        <f t="shared" si="690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03">G1078</f>
        <v>0</v>
      </c>
      <c r="H1077" s="1">
        <f t="shared" si="703"/>
        <v>0</v>
      </c>
      <c r="I1077" s="1">
        <f t="shared" si="703"/>
        <v>0</v>
      </c>
      <c r="J1077" s="1">
        <f t="shared" si="703"/>
        <v>0</v>
      </c>
      <c r="K1077" s="1">
        <f t="shared" si="703"/>
        <v>0</v>
      </c>
    </row>
    <row r="1078" spans="2:11" x14ac:dyDescent="0.25">
      <c r="B1078" s="5" t="str">
        <f t="shared" si="702"/>
        <v>SPS3</v>
      </c>
      <c r="C1078" s="5" t="str">
        <f t="shared" si="690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02"/>
        <v>SPS3</v>
      </c>
      <c r="C1079" s="5" t="str">
        <f t="shared" si="690"/>
        <v>CH</v>
      </c>
      <c r="D1079" t="s">
        <v>1068</v>
      </c>
      <c r="E1079" t="s">
        <v>8</v>
      </c>
      <c r="F1079" s="1">
        <f>[1]Residential!B$10-[1]Residential!B$223</f>
        <v>0.11027577296765634</v>
      </c>
      <c r="G1079" s="1">
        <f>[1]Residential!C$10-[1]Residential!C$223</f>
        <v>8.4916582208541644</v>
      </c>
      <c r="H1079" s="1">
        <f>[1]Residential!D$10-[1]Residential!D$223</f>
        <v>5.2662915774341217</v>
      </c>
      <c r="I1079" s="1">
        <f>[1]Residential!E$10-[1]Residential!E$223</f>
        <v>11.94290962122675</v>
      </c>
      <c r="J1079" s="1">
        <f>[1]Residential!F$10-[1]Residential!F$223</f>
        <v>22.034885400151854</v>
      </c>
      <c r="K1079" s="1">
        <f>[1]Residential!G$10-[1]Residential!G$223</f>
        <v>32.537201664956804</v>
      </c>
    </row>
    <row r="1080" spans="2:11" x14ac:dyDescent="0.25">
      <c r="B1080" s="5" t="str">
        <f t="shared" si="702"/>
        <v>SPS3</v>
      </c>
      <c r="C1080" s="5" t="str">
        <f t="shared" si="690"/>
        <v>CH</v>
      </c>
      <c r="D1080" t="s">
        <v>1069</v>
      </c>
      <c r="E1080" t="s">
        <v>8</v>
      </c>
      <c r="F1080" s="1">
        <f>[1]Residential!B$224</f>
        <v>26.978326886490784</v>
      </c>
      <c r="G1080" s="1">
        <f>[1]Residential!C$224</f>
        <v>25.930158037218263</v>
      </c>
      <c r="H1080" s="1">
        <f>[1]Residential!D$224</f>
        <v>21.253369549454039</v>
      </c>
      <c r="I1080" s="1">
        <f>[1]Residential!E$224</f>
        <v>22.041304456174156</v>
      </c>
      <c r="J1080" s="1">
        <f>[1]Residential!F$224</f>
        <v>26.415486665914894</v>
      </c>
      <c r="K1080" s="1">
        <f>[1]Residential!G$224</f>
        <v>27.574102658308185</v>
      </c>
    </row>
    <row r="1081" spans="2:11" x14ac:dyDescent="0.25">
      <c r="B1081" s="5" t="str">
        <f t="shared" si="702"/>
        <v>SPS3</v>
      </c>
      <c r="C1081" s="5" t="str">
        <f t="shared" si="690"/>
        <v>CH</v>
      </c>
      <c r="D1081" t="s">
        <v>1119</v>
      </c>
      <c r="E1081" t="s">
        <v>8</v>
      </c>
      <c r="F1081" s="1">
        <f>SUM(F1082:F1083)</f>
        <v>9.8846051623122122</v>
      </c>
      <c r="G1081" s="1">
        <f t="shared" ref="G1081:K1081" si="704">SUM(G1082:G1083)</f>
        <v>10.604171166334847</v>
      </c>
      <c r="H1081" s="1">
        <f t="shared" si="704"/>
        <v>7.8335194029850577</v>
      </c>
      <c r="I1081" s="1">
        <f t="shared" si="704"/>
        <v>11.271177829079338</v>
      </c>
      <c r="J1081" s="1">
        <f t="shared" si="704"/>
        <v>17.060670044564713</v>
      </c>
      <c r="K1081" s="1">
        <f t="shared" si="704"/>
        <v>18.94493531935947</v>
      </c>
    </row>
    <row r="1082" spans="2:11" x14ac:dyDescent="0.25">
      <c r="B1082" s="5" t="str">
        <f t="shared" si="702"/>
        <v>SPS3</v>
      </c>
      <c r="C1082" s="5" t="str">
        <f t="shared" si="690"/>
        <v>CH</v>
      </c>
      <c r="D1082" t="s">
        <v>1120</v>
      </c>
      <c r="E1082" t="s">
        <v>8</v>
      </c>
      <c r="F1082" s="1">
        <f>[1]Residential!B$231-F1056</f>
        <v>6.6447045345847684</v>
      </c>
      <c r="G1082" s="1">
        <f>[1]Residential!C$231-G1056</f>
        <v>6.9687096588663344</v>
      </c>
      <c r="H1082" s="1">
        <f>[1]Residential!D$231-H1056</f>
        <v>2.7566218788259924</v>
      </c>
      <c r="I1082" s="1">
        <f>[1]Residential!E$231-I1056</f>
        <v>1.9168829393789122</v>
      </c>
      <c r="J1082" s="1">
        <f>[1]Residential!F$231-J1056</f>
        <v>1.6199607331590304</v>
      </c>
      <c r="K1082" s="1">
        <f>[1]Residential!G$231-K1056</f>
        <v>1.4273562486380438</v>
      </c>
    </row>
    <row r="1083" spans="2:11" x14ac:dyDescent="0.25">
      <c r="B1083" s="5" t="str">
        <f t="shared" si="702"/>
        <v>SPS3</v>
      </c>
      <c r="C1083" s="5" t="str">
        <f t="shared" si="690"/>
        <v>CH</v>
      </c>
      <c r="D1083" t="s">
        <v>1121</v>
      </c>
      <c r="E1083" t="s">
        <v>8</v>
      </c>
      <c r="F1083" s="1">
        <f>[1]Residential!B$233-F1057</f>
        <v>3.2399006277274438</v>
      </c>
      <c r="G1083" s="1">
        <f>[1]Residential!C$233-G1057</f>
        <v>3.6354615074685128</v>
      </c>
      <c r="H1083" s="1">
        <f>[1]Residential!D$233-H1057</f>
        <v>5.0768975241590653</v>
      </c>
      <c r="I1083" s="1">
        <f>[1]Residential!E$233-I1057</f>
        <v>9.3542948897004266</v>
      </c>
      <c r="J1083" s="1">
        <f>[1]Residential!F$233-J1057</f>
        <v>15.440709311405683</v>
      </c>
      <c r="K1083" s="1">
        <f>[1]Residential!G$233-K1057</f>
        <v>17.517579070721425</v>
      </c>
    </row>
    <row r="1084" spans="2:11" x14ac:dyDescent="0.25">
      <c r="B1084" s="5" t="str">
        <f t="shared" si="702"/>
        <v>SPS3</v>
      </c>
      <c r="C1084" s="5" t="str">
        <f t="shared" si="690"/>
        <v>CH</v>
      </c>
      <c r="D1084" t="s">
        <v>1070</v>
      </c>
      <c r="E1084" t="s">
        <v>8</v>
      </c>
      <c r="F1084" s="1">
        <f>F1085</f>
        <v>6.9844610795506412</v>
      </c>
      <c r="G1084" s="1">
        <f t="shared" ref="G1084:K1084" si="705">G1085</f>
        <v>5.5425959632330901</v>
      </c>
      <c r="H1084" s="1">
        <f t="shared" si="705"/>
        <v>4.3218000773449603</v>
      </c>
      <c r="I1084" s="1">
        <f t="shared" si="705"/>
        <v>1.8237009466484828</v>
      </c>
      <c r="J1084" s="1">
        <f t="shared" si="705"/>
        <v>0.39490965247838927</v>
      </c>
      <c r="K1084" s="1">
        <f t="shared" si="705"/>
        <v>1.6956067561063243E-2</v>
      </c>
    </row>
    <row r="1085" spans="2:11" x14ac:dyDescent="0.25">
      <c r="B1085" s="5" t="str">
        <f t="shared" si="702"/>
        <v>SPS3</v>
      </c>
      <c r="C1085" s="5" t="str">
        <f t="shared" si="690"/>
        <v>CH</v>
      </c>
      <c r="D1085" t="s">
        <v>1071</v>
      </c>
      <c r="E1085" t="s">
        <v>8</v>
      </c>
      <c r="F1085" s="1">
        <f>[1]Residential!B$234-F1059</f>
        <v>6.9844610795506412</v>
      </c>
      <c r="G1085" s="1">
        <f>[1]Residential!C$234-G1059</f>
        <v>5.5425959632330901</v>
      </c>
      <c r="H1085" s="1">
        <f>[1]Residential!D$234-H1059</f>
        <v>4.3218000773449603</v>
      </c>
      <c r="I1085" s="1">
        <f>[1]Residential!E$234-I1059</f>
        <v>1.8237009466484828</v>
      </c>
      <c r="J1085" s="1">
        <f>[1]Residential!F$234-J1059</f>
        <v>0.39490965247838927</v>
      </c>
      <c r="K1085" s="1">
        <f>[1]Residential!G$234-K1059</f>
        <v>1.6956067561063243E-2</v>
      </c>
    </row>
    <row r="1086" spans="2:11" x14ac:dyDescent="0.25">
      <c r="B1086" s="5" t="str">
        <f t="shared" si="702"/>
        <v>SPS3</v>
      </c>
      <c r="C1086" s="5" t="str">
        <f t="shared" si="690"/>
        <v>CH</v>
      </c>
      <c r="D1086" t="s">
        <v>1072</v>
      </c>
      <c r="E1086" t="s">
        <v>8</v>
      </c>
      <c r="F1086" s="1">
        <f>SUM(F1087:F1088)</f>
        <v>6.3804541102457719</v>
      </c>
      <c r="G1086" s="1">
        <f t="shared" ref="G1086:K1086" si="706">SUM(G1087:G1088)</f>
        <v>5.5412064837923865</v>
      </c>
      <c r="H1086" s="1">
        <f t="shared" si="706"/>
        <v>5.8453627034674991</v>
      </c>
      <c r="I1086" s="1">
        <f t="shared" si="706"/>
        <v>5.0183855940859665</v>
      </c>
      <c r="J1086" s="1">
        <f t="shared" si="706"/>
        <v>4.5713646713853739</v>
      </c>
      <c r="K1086" s="1">
        <f t="shared" si="706"/>
        <v>4.1076674386583667</v>
      </c>
    </row>
    <row r="1087" spans="2:11" x14ac:dyDescent="0.25">
      <c r="B1087" s="5" t="str">
        <f t="shared" si="702"/>
        <v>SPS3</v>
      </c>
      <c r="C1087" s="5" t="str">
        <f t="shared" si="690"/>
        <v>CH</v>
      </c>
      <c r="D1087" t="s">
        <v>1073</v>
      </c>
      <c r="E1087" t="s">
        <v>8</v>
      </c>
      <c r="F1087" s="1">
        <f>[1]Residential!B$235-F1061</f>
        <v>6.3804541102457719</v>
      </c>
      <c r="G1087" s="1">
        <f>[1]Residential!C$235-G1061</f>
        <v>5.5412064837923865</v>
      </c>
      <c r="H1087" s="1">
        <f>[1]Residential!D$235-H1061</f>
        <v>4.9543795863752109</v>
      </c>
      <c r="I1087" s="1">
        <f>[1]Residential!E$235-I1061</f>
        <v>2.8868404647516641</v>
      </c>
      <c r="J1087" s="1">
        <f>[1]Residential!F$235-J1061</f>
        <v>0.76421528350957058</v>
      </c>
      <c r="K1087" s="1">
        <f>[1]Residential!G$235-K1061</f>
        <v>0.34027678433805697</v>
      </c>
    </row>
    <row r="1088" spans="2:11" x14ac:dyDescent="0.25">
      <c r="B1088" s="5" t="str">
        <f t="shared" si="702"/>
        <v>SPS3</v>
      </c>
      <c r="C1088" s="5" t="str">
        <f t="shared" si="690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0.89098311709228861</v>
      </c>
      <c r="I1088" s="1">
        <f>[1]Residential!E$236-I1062</f>
        <v>2.1315451293343024</v>
      </c>
      <c r="J1088" s="1">
        <f>[1]Residential!F$236-J1062</f>
        <v>3.8071493878758034</v>
      </c>
      <c r="K1088" s="1">
        <f>[1]Residential!G$236-K1062</f>
        <v>3.7673906543203097</v>
      </c>
    </row>
    <row r="1089" spans="2:11" x14ac:dyDescent="0.25">
      <c r="B1089" s="5" t="str">
        <f t="shared" si="702"/>
        <v>SPS3</v>
      </c>
      <c r="C1089" s="5" t="str">
        <f t="shared" si="690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02"/>
        <v>SPS3</v>
      </c>
      <c r="C1090" s="5" t="str">
        <f t="shared" si="690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02"/>
        <v>SPS3</v>
      </c>
      <c r="C1091" s="5" t="str">
        <f t="shared" si="690"/>
        <v>CH</v>
      </c>
      <c r="D1091" t="s">
        <v>1077</v>
      </c>
      <c r="E1091" t="s">
        <v>8</v>
      </c>
      <c r="F1091" s="1">
        <f>SUM(F1092,F1096)</f>
        <v>1.3170522107368723</v>
      </c>
      <c r="G1091" s="1">
        <f t="shared" ref="G1091:K1091" si="707">SUM(G1092,G1096)</f>
        <v>1.463377829112078</v>
      </c>
      <c r="H1091" s="1">
        <f t="shared" si="707"/>
        <v>1.2067827600132404</v>
      </c>
      <c r="I1091" s="1">
        <f t="shared" si="707"/>
        <v>1.5619607637584547</v>
      </c>
      <c r="J1091" s="1">
        <f t="shared" si="707"/>
        <v>1.6810870996235776</v>
      </c>
      <c r="K1091" s="1">
        <f t="shared" si="707"/>
        <v>1.6728289666827454</v>
      </c>
    </row>
    <row r="1092" spans="2:11" x14ac:dyDescent="0.25">
      <c r="B1092" s="5" t="str">
        <f t="shared" si="702"/>
        <v>SPS3</v>
      </c>
      <c r="C1092" s="5" t="str">
        <f t="shared" si="690"/>
        <v>CH</v>
      </c>
      <c r="D1092" t="s">
        <v>1078</v>
      </c>
      <c r="E1092" t="s">
        <v>8</v>
      </c>
      <c r="F1092" s="1">
        <f>[1]Residential!B$238-F1066</f>
        <v>1.5829827218054565E-2</v>
      </c>
      <c r="G1092" s="1">
        <f>[1]Residential!C$238-G1066</f>
        <v>4.6022245698171885E-3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25">
      <c r="B1093" s="5" t="str">
        <f t="shared" si="702"/>
        <v>SPS3</v>
      </c>
      <c r="C1093" s="5" t="str">
        <f t="shared" si="690"/>
        <v>CH</v>
      </c>
      <c r="D1093" t="s">
        <v>1079</v>
      </c>
      <c r="E1093" t="s">
        <v>8</v>
      </c>
      <c r="F1093" s="1">
        <f>IFERROR(F$1092/F$1041,0)*F1042</f>
        <v>1.5786487284947356E-2</v>
      </c>
      <c r="G1093" s="1">
        <f t="shared" ref="G1093:K1095" si="708">IFERROR(G$1092/G$1041,0)*G1042</f>
        <v>4.5363442253235492E-3</v>
      </c>
      <c r="H1093" s="1">
        <f t="shared" si="708"/>
        <v>0</v>
      </c>
      <c r="I1093" s="1">
        <f t="shared" si="708"/>
        <v>0</v>
      </c>
      <c r="J1093" s="1">
        <f t="shared" si="708"/>
        <v>0</v>
      </c>
      <c r="K1093" s="1">
        <f t="shared" si="708"/>
        <v>0</v>
      </c>
    </row>
    <row r="1094" spans="2:11" x14ac:dyDescent="0.25">
      <c r="B1094" s="5" t="str">
        <f t="shared" si="702"/>
        <v>SPS3</v>
      </c>
      <c r="C1094" s="5" t="str">
        <f t="shared" si="690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08"/>
        <v>0</v>
      </c>
      <c r="H1094" s="1">
        <f t="shared" si="708"/>
        <v>0</v>
      </c>
      <c r="I1094" s="1">
        <f t="shared" si="708"/>
        <v>0</v>
      </c>
      <c r="J1094" s="1">
        <f t="shared" si="708"/>
        <v>0</v>
      </c>
      <c r="K1094" s="1">
        <f t="shared" si="708"/>
        <v>0</v>
      </c>
    </row>
    <row r="1095" spans="2:11" x14ac:dyDescent="0.25">
      <c r="B1095" s="5" t="str">
        <f t="shared" si="702"/>
        <v>SPS3</v>
      </c>
      <c r="C1095" s="5" t="str">
        <f t="shared" si="690"/>
        <v>CH</v>
      </c>
      <c r="D1095" t="s">
        <v>1081</v>
      </c>
      <c r="E1095" t="s">
        <v>8</v>
      </c>
      <c r="F1095" s="1">
        <f>IFERROR(F$1092/F$1041,0)*F1044</f>
        <v>4.333993310721009E-5</v>
      </c>
      <c r="G1095" s="1">
        <f t="shared" si="708"/>
        <v>6.588034449363933E-5</v>
      </c>
      <c r="H1095" s="1">
        <f t="shared" si="708"/>
        <v>0</v>
      </c>
      <c r="I1095" s="1">
        <f t="shared" si="708"/>
        <v>0</v>
      </c>
      <c r="J1095" s="1">
        <f t="shared" si="708"/>
        <v>0</v>
      </c>
      <c r="K1095" s="1">
        <f t="shared" si="708"/>
        <v>0</v>
      </c>
    </row>
    <row r="1096" spans="2:11" x14ac:dyDescent="0.25">
      <c r="B1096" s="5" t="str">
        <f t="shared" si="702"/>
        <v>SPS3</v>
      </c>
      <c r="C1096" s="5" t="str">
        <f t="shared" si="690"/>
        <v>CH</v>
      </c>
      <c r="D1096" t="s">
        <v>1082</v>
      </c>
      <c r="E1096" t="s">
        <v>8</v>
      </c>
      <c r="F1096" s="1">
        <f>[1]Residential!B$239-F1070</f>
        <v>1.3012223835188177</v>
      </c>
      <c r="G1096" s="1">
        <f>[1]Residential!C$239-G1070</f>
        <v>1.4587756045422609</v>
      </c>
      <c r="H1096" s="1">
        <f>[1]Residential!D$239-H1070</f>
        <v>1.2067827600132404</v>
      </c>
      <c r="I1096" s="1">
        <f>[1]Residential!E$239-I1070</f>
        <v>1.5619607637584547</v>
      </c>
      <c r="J1096" s="1">
        <f>[1]Residential!F$239-J1070</f>
        <v>1.6810870996235776</v>
      </c>
      <c r="K1096" s="1">
        <f>[1]Residential!G$239-K1070</f>
        <v>1.6728289666827454</v>
      </c>
    </row>
    <row r="1097" spans="2:11" x14ac:dyDescent="0.25">
      <c r="B1097" s="5" t="str">
        <f t="shared" si="702"/>
        <v>SPS3</v>
      </c>
      <c r="C1097" s="5" t="str">
        <f t="shared" si="690"/>
        <v>CH</v>
      </c>
      <c r="D1097" t="s">
        <v>1083</v>
      </c>
      <c r="E1097" t="s">
        <v>8</v>
      </c>
      <c r="F1097" s="1">
        <f>F1098</f>
        <v>0.52047225192493407</v>
      </c>
      <c r="G1097" s="1">
        <f t="shared" ref="G1097:K1097" si="709">G1098</f>
        <v>0.59724156304230469</v>
      </c>
      <c r="H1097" s="1">
        <f t="shared" si="709"/>
        <v>1.0316807384866848</v>
      </c>
      <c r="I1097" s="1">
        <f t="shared" si="709"/>
        <v>0.90940832884766731</v>
      </c>
      <c r="J1097" s="1">
        <f t="shared" si="709"/>
        <v>0.63610561737452187</v>
      </c>
      <c r="K1097" s="1">
        <f t="shared" si="709"/>
        <v>0.34498315199377627</v>
      </c>
    </row>
    <row r="1098" spans="2:11" x14ac:dyDescent="0.25">
      <c r="B1098" s="5" t="str">
        <f t="shared" si="702"/>
        <v>SPS3</v>
      </c>
      <c r="C1098" s="5" t="str">
        <f t="shared" si="690"/>
        <v>CH</v>
      </c>
      <c r="D1098" t="s">
        <v>1084</v>
      </c>
      <c r="E1098" t="s">
        <v>8</v>
      </c>
      <c r="F1098" s="1">
        <f>[1]Residential!B$240-F1072</f>
        <v>0.52047225192493407</v>
      </c>
      <c r="G1098" s="1">
        <f>[1]Residential!C$240-G1072</f>
        <v>0.59724156304230469</v>
      </c>
      <c r="H1098" s="1">
        <f>[1]Residential!D$240-H1072</f>
        <v>1.0316807384866848</v>
      </c>
      <c r="I1098" s="1">
        <f>[1]Residential!E$240-I1072</f>
        <v>0.90940832884766731</v>
      </c>
      <c r="J1098" s="1">
        <f>[1]Residential!F$240-J1072</f>
        <v>0.63610561737452187</v>
      </c>
      <c r="K1098" s="1">
        <f>[1]Residential!G$240-K1072</f>
        <v>0.34498315199377627</v>
      </c>
    </row>
    <row r="1099" spans="2:11" x14ac:dyDescent="0.25">
      <c r="B1099" s="5" t="str">
        <f t="shared" si="702"/>
        <v>SPS3</v>
      </c>
      <c r="C1099" s="5" t="str">
        <f t="shared" si="690"/>
        <v>CH</v>
      </c>
      <c r="D1099" t="s">
        <v>1085</v>
      </c>
      <c r="E1099" t="s">
        <v>8</v>
      </c>
      <c r="F1099" s="1">
        <f>F1100</f>
        <v>0.16979404706050261</v>
      </c>
      <c r="G1099" s="1">
        <f t="shared" ref="G1099" si="710">G1100</f>
        <v>0.19483659833896061</v>
      </c>
      <c r="H1099" s="1">
        <f t="shared" ref="H1099" si="711">H1100</f>
        <v>3.7352728919536476E-2</v>
      </c>
      <c r="I1099" s="1">
        <f t="shared" ref="I1099" si="712">I1100</f>
        <v>3.4299959045112488E-2</v>
      </c>
      <c r="J1099" s="1">
        <f t="shared" ref="J1099" si="713">J1100</f>
        <v>2.3225218994841784E-2</v>
      </c>
      <c r="K1099" s="1">
        <f t="shared" ref="K1099" si="714">K1100</f>
        <v>9.2283592088279048E-3</v>
      </c>
    </row>
    <row r="1100" spans="2:11" x14ac:dyDescent="0.25">
      <c r="B1100" s="5" t="str">
        <f t="shared" si="702"/>
        <v>SPS3</v>
      </c>
      <c r="C1100" s="5" t="str">
        <f t="shared" si="690"/>
        <v>CH</v>
      </c>
      <c r="D1100" t="s">
        <v>1086</v>
      </c>
      <c r="E1100" t="s">
        <v>8</v>
      </c>
      <c r="F1100" s="1">
        <f>[1]Residential!B$241-F1074</f>
        <v>0.16979404706050261</v>
      </c>
      <c r="G1100" s="1">
        <f>[1]Residential!C$241-G1074</f>
        <v>0.19483659833896061</v>
      </c>
      <c r="H1100" s="1">
        <f>[1]Residential!D$241-H1074</f>
        <v>3.7352728919536476E-2</v>
      </c>
      <c r="I1100" s="1">
        <f>[1]Residential!E$241-I1074</f>
        <v>3.4299959045112488E-2</v>
      </c>
      <c r="J1100" s="1">
        <f>[1]Residential!F$241-J1074</f>
        <v>2.3225218994841784E-2</v>
      </c>
      <c r="K1100" s="1">
        <f>[1]Residential!G$241-K1074</f>
        <v>9.2283592088279048E-3</v>
      </c>
    </row>
    <row r="1101" spans="2:11" x14ac:dyDescent="0.25">
      <c r="B1101" s="5" t="str">
        <f t="shared" si="702"/>
        <v>SPS3</v>
      </c>
      <c r="C1101" s="5" t="str">
        <f t="shared" si="690"/>
        <v>CH</v>
      </c>
      <c r="D1101" t="s">
        <v>1087</v>
      </c>
      <c r="E1101" t="s">
        <v>8</v>
      </c>
      <c r="F1101" s="1">
        <f>F1102</f>
        <v>1.7214880246598507</v>
      </c>
      <c r="G1101" s="1">
        <f t="shared" ref="G1101" si="715">G1102</f>
        <v>1.9867284333645978</v>
      </c>
      <c r="H1101" s="1">
        <f t="shared" ref="H1101" si="716">H1102</f>
        <v>0.9768711382370594</v>
      </c>
      <c r="I1101" s="1">
        <f t="shared" ref="I1101" si="717">I1102</f>
        <v>1.4223710347091325</v>
      </c>
      <c r="J1101" s="1">
        <f t="shared" ref="J1101" si="718">J1102</f>
        <v>2.0481243614934708</v>
      </c>
      <c r="K1101" s="1">
        <f t="shared" ref="K1101" si="719">K1102</f>
        <v>2.4775033548439285</v>
      </c>
    </row>
    <row r="1102" spans="2:11" x14ac:dyDescent="0.25">
      <c r="B1102" s="5" t="str">
        <f t="shared" si="702"/>
        <v>SPS3</v>
      </c>
      <c r="C1102" s="5" t="str">
        <f t="shared" si="690"/>
        <v>CH</v>
      </c>
      <c r="D1102" t="s">
        <v>1088</v>
      </c>
      <c r="E1102" t="s">
        <v>8</v>
      </c>
      <c r="F1102" s="1">
        <f>[1]Residential!B$242-F1076</f>
        <v>1.7214880246598507</v>
      </c>
      <c r="G1102" s="1">
        <f>[1]Residential!C$242-G1076</f>
        <v>1.9867284333645978</v>
      </c>
      <c r="H1102" s="1">
        <f>[1]Residential!D$242-H1076</f>
        <v>0.9768711382370594</v>
      </c>
      <c r="I1102" s="1">
        <f>[1]Residential!E$242-I1076</f>
        <v>1.4223710347091325</v>
      </c>
      <c r="J1102" s="1">
        <f>[1]Residential!F$242-J1076</f>
        <v>2.0481243614934708</v>
      </c>
      <c r="K1102" s="1">
        <f>[1]Residential!G$242-K1076</f>
        <v>2.4775033548439285</v>
      </c>
    </row>
    <row r="1103" spans="2:11" x14ac:dyDescent="0.25">
      <c r="B1103" s="5" t="str">
        <f t="shared" si="702"/>
        <v>SPS3</v>
      </c>
      <c r="C1103" s="5" t="str">
        <f t="shared" si="690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20">G1104</f>
        <v>0</v>
      </c>
      <c r="H1103" s="1">
        <f t="shared" ref="H1103" si="721">H1104</f>
        <v>0</v>
      </c>
      <c r="I1103" s="1">
        <f t="shared" ref="I1103" si="722">I1104</f>
        <v>0</v>
      </c>
      <c r="J1103" s="1">
        <f t="shared" ref="J1103" si="723">J1104</f>
        <v>0</v>
      </c>
      <c r="K1103" s="1">
        <f t="shared" ref="K1103" si="724">K1104</f>
        <v>0</v>
      </c>
    </row>
    <row r="1104" spans="2:11" x14ac:dyDescent="0.25">
      <c r="B1104" s="5" t="str">
        <f t="shared" si="702"/>
        <v>SPS3</v>
      </c>
      <c r="C1104" s="5" t="str">
        <f t="shared" si="690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02"/>
        <v>SPS3</v>
      </c>
      <c r="C1105" s="5" t="str">
        <f t="shared" si="690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si="702"/>
        <v>SPS3</v>
      </c>
      <c r="C1106" s="5" t="str">
        <f t="shared" ref="C1106:C1133" si="725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 t="shared" si="702"/>
        <v>SPS3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0.95000000000000007</v>
      </c>
      <c r="G1107" s="4">
        <f t="shared" ref="G1107:K1108" si="726">IFERROR(G1056/G973,"-")</f>
        <v>0.95000000000000029</v>
      </c>
      <c r="H1107" s="4">
        <f t="shared" si="726"/>
        <v>0.91579296173784275</v>
      </c>
      <c r="I1107" s="4">
        <f t="shared" si="726"/>
        <v>0.91738073973548495</v>
      </c>
      <c r="J1107" s="4">
        <f t="shared" si="726"/>
        <v>0.94216090805934583</v>
      </c>
      <c r="K1107" s="4">
        <f t="shared" si="726"/>
        <v>0.94852733598806416</v>
      </c>
    </row>
    <row r="1108" spans="2:11" x14ac:dyDescent="0.25">
      <c r="B1108" s="5" t="str">
        <f t="shared" si="702"/>
        <v>SPS3</v>
      </c>
      <c r="C1108" s="5" t="str">
        <f t="shared" si="725"/>
        <v>CH</v>
      </c>
      <c r="D1108" t="s">
        <v>1123</v>
      </c>
      <c r="E1108" t="s">
        <v>240</v>
      </c>
      <c r="F1108" s="4">
        <f>IFERROR(F1057/F974,"-")</f>
        <v>3.2000000282479211</v>
      </c>
      <c r="G1108" s="4">
        <f t="shared" si="726"/>
        <v>3.2533333521868069</v>
      </c>
      <c r="H1108" s="4">
        <f t="shared" si="726"/>
        <v>3.0189366386003242</v>
      </c>
      <c r="I1108" s="4">
        <f t="shared" si="726"/>
        <v>3.3754987901516604</v>
      </c>
      <c r="J1108" s="4">
        <f t="shared" si="726"/>
        <v>3.7602595771650984</v>
      </c>
      <c r="K1108" s="4">
        <f t="shared" si="726"/>
        <v>4.1525156915078716</v>
      </c>
    </row>
    <row r="1109" spans="2:11" x14ac:dyDescent="0.25">
      <c r="B1109" s="5" t="str">
        <f t="shared" si="702"/>
        <v>SPS3</v>
      </c>
      <c r="C1109" s="5" t="str">
        <f t="shared" si="725"/>
        <v>CH</v>
      </c>
      <c r="D1109" t="s">
        <v>1093</v>
      </c>
      <c r="E1109" t="s">
        <v>240</v>
      </c>
      <c r="F1109" s="4">
        <f>IFERROR(F1059/F983,"-")</f>
        <v>0.89583333333333348</v>
      </c>
      <c r="G1109" s="4">
        <f t="shared" ref="G1109:K1109" si="727">IFERROR(G1059/G983,"-")</f>
        <v>0.8958333333333347</v>
      </c>
      <c r="H1109" s="4">
        <f t="shared" si="727"/>
        <v>0.84815867257745303</v>
      </c>
      <c r="I1109" s="4">
        <f t="shared" si="727"/>
        <v>0.86665632313650531</v>
      </c>
      <c r="J1109" s="4">
        <f t="shared" si="727"/>
        <v>0.868260799346527</v>
      </c>
      <c r="K1109" s="4">
        <f t="shared" si="727"/>
        <v>0.86617106144587253</v>
      </c>
    </row>
    <row r="1110" spans="2:11" x14ac:dyDescent="0.25">
      <c r="B1110" s="5" t="str">
        <f t="shared" si="702"/>
        <v>SPS3</v>
      </c>
      <c r="C1110" s="5" t="str">
        <f t="shared" si="725"/>
        <v>CH</v>
      </c>
      <c r="D1110" t="s">
        <v>1094</v>
      </c>
      <c r="E1110" t="s">
        <v>240</v>
      </c>
      <c r="F1110" s="4">
        <f>IFERROR(F1061/F996,"-")</f>
        <v>0.9500000000000004</v>
      </c>
      <c r="G1110" s="4">
        <f t="shared" ref="G1110:K1110" si="728">IFERROR(G1061/G996,"-")</f>
        <v>0.95000000000000029</v>
      </c>
      <c r="H1110" s="4">
        <f t="shared" si="728"/>
        <v>0.9286368220129706</v>
      </c>
      <c r="I1110" s="4">
        <f t="shared" si="728"/>
        <v>0.92931013081410352</v>
      </c>
      <c r="J1110" s="4">
        <f t="shared" si="728"/>
        <v>0.92666521141893521</v>
      </c>
      <c r="K1110" s="4">
        <f t="shared" si="728"/>
        <v>0.93814086801958185</v>
      </c>
    </row>
    <row r="1111" spans="2:11" x14ac:dyDescent="0.25">
      <c r="B1111" s="5" t="str">
        <f t="shared" si="702"/>
        <v>SPS3</v>
      </c>
      <c r="C1111" s="5" t="str">
        <f t="shared" si="725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29">IFERROR(G1062/G997,"-")</f>
        <v>-</v>
      </c>
      <c r="H1111" s="4">
        <f t="shared" si="729"/>
        <v>1.8628288968966473</v>
      </c>
      <c r="I1111" s="4">
        <f t="shared" si="729"/>
        <v>1.9582400635235908</v>
      </c>
      <c r="J1111" s="4">
        <f t="shared" si="729"/>
        <v>2.0396537902410681</v>
      </c>
      <c r="K1111" s="4">
        <f t="shared" si="729"/>
        <v>2.1375168977745806</v>
      </c>
    </row>
    <row r="1112" spans="2:11" x14ac:dyDescent="0.25">
      <c r="B1112" s="5" t="str">
        <f t="shared" si="702"/>
        <v>SPS3</v>
      </c>
      <c r="C1112" s="5" t="str">
        <f t="shared" si="725"/>
        <v>CH</v>
      </c>
      <c r="D1112" t="s">
        <v>1096</v>
      </c>
      <c r="E1112" t="s">
        <v>240</v>
      </c>
      <c r="F1112" s="4">
        <f>IFERROR(F1064/F1015,"-")</f>
        <v>0.72000000000000031</v>
      </c>
      <c r="G1112" s="4">
        <f t="shared" ref="G1112:K1112" si="730">IFERROR(G1064/G1015,"-")</f>
        <v>0.72000000000000064</v>
      </c>
      <c r="H1112" s="4">
        <f t="shared" si="730"/>
        <v>0.79807966905504757</v>
      </c>
      <c r="I1112" s="4" t="str">
        <f t="shared" si="730"/>
        <v>-</v>
      </c>
      <c r="J1112" s="4" t="str">
        <f t="shared" si="730"/>
        <v>-</v>
      </c>
      <c r="K1112" s="4" t="str">
        <f t="shared" si="730"/>
        <v>-</v>
      </c>
    </row>
    <row r="1113" spans="2:11" x14ac:dyDescent="0.25">
      <c r="B1113" s="5" t="str">
        <f t="shared" si="702"/>
        <v>SPS3</v>
      </c>
      <c r="C1113" s="5" t="str">
        <f t="shared" si="725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02"/>
        <v>SPS3</v>
      </c>
      <c r="C1114" s="5" t="str">
        <f t="shared" si="725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02"/>
        <v>SPS3</v>
      </c>
      <c r="C1115" s="5" t="str">
        <f t="shared" si="725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02"/>
        <v>SPS3</v>
      </c>
      <c r="C1116" s="5" t="str">
        <f t="shared" si="725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02"/>
        <v>SPS3</v>
      </c>
      <c r="C1117" s="5" t="str">
        <f t="shared" si="725"/>
        <v>CH</v>
      </c>
      <c r="D1117" t="s">
        <v>1101</v>
      </c>
      <c r="E1117" t="s">
        <v>240</v>
      </c>
      <c r="F1117" s="4">
        <f>IFERROR(F1072/F1020,"-")</f>
        <v>0.71999999999999986</v>
      </c>
      <c r="G1117" s="4">
        <f t="shared" ref="G1117:K1117" si="731">IFERROR(G1072/G1020,"-")</f>
        <v>0.72000000000000008</v>
      </c>
      <c r="H1117" s="4">
        <f t="shared" si="731"/>
        <v>0.71409263645719856</v>
      </c>
      <c r="I1117" s="4">
        <f t="shared" si="731"/>
        <v>0.7213295948805335</v>
      </c>
      <c r="J1117" s="4">
        <f t="shared" si="731"/>
        <v>0.72635677766856632</v>
      </c>
      <c r="K1117" s="4">
        <f t="shared" si="731"/>
        <v>0.75632751100937123</v>
      </c>
    </row>
    <row r="1118" spans="2:11" x14ac:dyDescent="0.25">
      <c r="B1118" s="5" t="str">
        <f t="shared" si="702"/>
        <v>SPS3</v>
      </c>
      <c r="C1118" s="5" t="str">
        <f t="shared" si="725"/>
        <v>CH</v>
      </c>
      <c r="D1118" t="s">
        <v>1102</v>
      </c>
      <c r="E1118" t="s">
        <v>240</v>
      </c>
      <c r="F1118" s="4">
        <f>IFERROR(F1074/F1025,"-")</f>
        <v>0.8999999999999998</v>
      </c>
      <c r="G1118" s="4">
        <f t="shared" ref="G1118:K1118" si="732">IFERROR(G1074/G1025,"-")</f>
        <v>0.89999999999999936</v>
      </c>
      <c r="H1118" s="4">
        <f t="shared" si="732"/>
        <v>0.72215082243400674</v>
      </c>
      <c r="I1118" s="4">
        <f t="shared" si="732"/>
        <v>0.72285963728423708</v>
      </c>
      <c r="J1118" s="4">
        <f t="shared" si="732"/>
        <v>0.72334294472597105</v>
      </c>
      <c r="K1118" s="4">
        <f t="shared" si="732"/>
        <v>0.74744897600793936</v>
      </c>
    </row>
    <row r="1119" spans="2:11" x14ac:dyDescent="0.25">
      <c r="B1119" s="5" t="str">
        <f t="shared" si="702"/>
        <v>SPS3</v>
      </c>
      <c r="C1119" s="5" t="str">
        <f t="shared" si="725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02"/>
        <v>SPS3</v>
      </c>
      <c r="C1120" s="5" t="str">
        <f t="shared" si="725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33">IFERROR(G1078/G1037,"-")</f>
        <v>-</v>
      </c>
      <c r="H1120" s="4" t="str">
        <f t="shared" si="733"/>
        <v>-</v>
      </c>
      <c r="I1120" s="4" t="str">
        <f t="shared" si="733"/>
        <v>-</v>
      </c>
      <c r="J1120" s="4" t="str">
        <f t="shared" si="733"/>
        <v>-</v>
      </c>
      <c r="K1120" s="4" t="str">
        <f t="shared" si="733"/>
        <v>-</v>
      </c>
    </row>
    <row r="1121" spans="2:11" x14ac:dyDescent="0.25">
      <c r="B1121" s="5" t="str">
        <f t="shared" si="702"/>
        <v>SPS3</v>
      </c>
      <c r="C1121" s="5" t="str">
        <f t="shared" si="725"/>
        <v>CH</v>
      </c>
      <c r="D1121" t="s">
        <v>1124</v>
      </c>
      <c r="E1121" t="s">
        <v>240</v>
      </c>
      <c r="F1121" s="4">
        <f>IFERROR(F1082/F976,"-")</f>
        <v>0.79000000000000026</v>
      </c>
      <c r="G1121" s="4">
        <f t="shared" ref="G1121:K1122" si="734">IFERROR(G1082/G976,"-")</f>
        <v>0.79200000000000004</v>
      </c>
      <c r="H1121" s="4">
        <f t="shared" si="734"/>
        <v>0.46567365151911966</v>
      </c>
      <c r="I1121" s="4">
        <f t="shared" si="734"/>
        <v>0.4865892231391416</v>
      </c>
      <c r="J1121" s="4">
        <f t="shared" si="734"/>
        <v>0.50554055115791285</v>
      </c>
      <c r="K1121" s="4">
        <f t="shared" si="734"/>
        <v>0.52095377280799748</v>
      </c>
    </row>
    <row r="1122" spans="2:11" x14ac:dyDescent="0.25">
      <c r="B1122" s="5" t="str">
        <f t="shared" si="702"/>
        <v>SPS3</v>
      </c>
      <c r="C1122" s="5" t="str">
        <f t="shared" si="725"/>
        <v>CH</v>
      </c>
      <c r="D1122" t="s">
        <v>1125</v>
      </c>
      <c r="E1122" t="s">
        <v>240</v>
      </c>
      <c r="F1122" s="4">
        <f>IFERROR(F1083/F977,"-")</f>
        <v>2.82</v>
      </c>
      <c r="G1122" s="4">
        <f t="shared" si="734"/>
        <v>2.8259999999999992</v>
      </c>
      <c r="H1122" s="4">
        <f t="shared" si="734"/>
        <v>1.9227518161589296</v>
      </c>
      <c r="I1122" s="4">
        <f t="shared" si="734"/>
        <v>2.187730341641891</v>
      </c>
      <c r="J1122" s="4">
        <f t="shared" si="734"/>
        <v>2.4929964554914559</v>
      </c>
      <c r="K1122" s="4">
        <f t="shared" si="734"/>
        <v>2.7986458717271177</v>
      </c>
    </row>
    <row r="1123" spans="2:11" x14ac:dyDescent="0.25">
      <c r="B1123" s="5" t="str">
        <f t="shared" si="702"/>
        <v>SPS3</v>
      </c>
      <c r="C1123" s="5" t="str">
        <f t="shared" si="725"/>
        <v>CH</v>
      </c>
      <c r="D1123" t="s">
        <v>1105</v>
      </c>
      <c r="E1123" t="s">
        <v>240</v>
      </c>
      <c r="F1123" s="4">
        <f>IFERROR(F1085/F989,"-")</f>
        <v>0.70833333333333359</v>
      </c>
      <c r="G1123" s="4">
        <f t="shared" ref="G1123:K1123" si="735">IFERROR(G1085/G989,"-")</f>
        <v>0.7145833333333329</v>
      </c>
      <c r="H1123" s="4">
        <f t="shared" si="735"/>
        <v>0.50200688181994901</v>
      </c>
      <c r="I1123" s="4">
        <f t="shared" si="735"/>
        <v>0.539383841397302</v>
      </c>
      <c r="J1123" s="4">
        <f t="shared" si="735"/>
        <v>0.55851995816630173</v>
      </c>
      <c r="K1123" s="4">
        <f t="shared" si="735"/>
        <v>0.59341190296358148</v>
      </c>
    </row>
    <row r="1124" spans="2:11" x14ac:dyDescent="0.25">
      <c r="B1124" s="5" t="str">
        <f t="shared" si="702"/>
        <v>SPS3</v>
      </c>
      <c r="C1124" s="5" t="str">
        <f t="shared" si="725"/>
        <v>CH</v>
      </c>
      <c r="D1124" t="s">
        <v>1106</v>
      </c>
      <c r="E1124" t="s">
        <v>240</v>
      </c>
      <c r="F1124" s="4">
        <f>IFERROR(F1087/F1005,"-")</f>
        <v>0.74999999999999956</v>
      </c>
      <c r="G1124" s="4">
        <f t="shared" ref="G1124:K1124" si="736">IFERROR(G1087/G1005,"-")</f>
        <v>0.75399999999999989</v>
      </c>
      <c r="H1124" s="4">
        <f t="shared" si="736"/>
        <v>0.52877475147517516</v>
      </c>
      <c r="I1124" s="4">
        <f t="shared" si="736"/>
        <v>0.67035288576606722</v>
      </c>
      <c r="J1124" s="4">
        <f t="shared" si="736"/>
        <v>0.5517051162222768</v>
      </c>
      <c r="K1124" s="4">
        <f t="shared" si="736"/>
        <v>0.56567618364668926</v>
      </c>
    </row>
    <row r="1125" spans="2:11" x14ac:dyDescent="0.25">
      <c r="B1125" s="5" t="str">
        <f t="shared" si="702"/>
        <v>SPS3</v>
      </c>
      <c r="C1125" s="5" t="str">
        <f t="shared" si="725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37">IFERROR(G1088/G1006,"-")</f>
        <v>-</v>
      </c>
      <c r="H1125" s="4">
        <f t="shared" si="737"/>
        <v>2.0565285431947986</v>
      </c>
      <c r="I1125" s="4">
        <f t="shared" si="737"/>
        <v>2.3683585657250408</v>
      </c>
      <c r="J1125" s="4">
        <f t="shared" si="737"/>
        <v>2.694981187127047</v>
      </c>
      <c r="K1125" s="4">
        <f t="shared" si="737"/>
        <v>3.2405180650424379</v>
      </c>
    </row>
    <row r="1126" spans="2:11" x14ac:dyDescent="0.25">
      <c r="B1126" s="5" t="str">
        <f t="shared" si="702"/>
        <v>SPS3</v>
      </c>
      <c r="C1126" s="5" t="str">
        <f t="shared" si="725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02"/>
        <v>SPS3</v>
      </c>
      <c r="C1127" s="5" t="str">
        <f t="shared" si="725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02"/>
        <v>SPS3</v>
      </c>
      <c r="C1128" s="5" t="str">
        <f t="shared" si="725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02"/>
        <v>SPS3</v>
      </c>
      <c r="C1129" s="5" t="str">
        <f t="shared" si="725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02"/>
        <v>SPS3</v>
      </c>
      <c r="C1130" s="5" t="str">
        <f t="shared" si="725"/>
        <v>CH</v>
      </c>
      <c r="D1130" t="s">
        <v>1112</v>
      </c>
      <c r="E1130" t="s">
        <v>240</v>
      </c>
      <c r="F1130" s="4">
        <f>IFERROR(F1098/F1022,"-")</f>
        <v>0.500000000000001</v>
      </c>
      <c r="G1130" s="4">
        <f t="shared" ref="G1130:K1130" si="738">IFERROR(G1098/G1022,"-")</f>
        <v>0.50000000000000011</v>
      </c>
      <c r="H1130" s="4">
        <f t="shared" si="738"/>
        <v>0.43304146965492113</v>
      </c>
      <c r="I1130" s="4">
        <f t="shared" si="738"/>
        <v>0.44561608405354769</v>
      </c>
      <c r="J1130" s="4">
        <f t="shared" si="738"/>
        <v>0.46722059845448832</v>
      </c>
      <c r="K1130" s="4">
        <f t="shared" si="738"/>
        <v>0.49900463299596431</v>
      </c>
    </row>
    <row r="1131" spans="2:11" x14ac:dyDescent="0.25">
      <c r="B1131" s="5" t="str">
        <f t="shared" si="702"/>
        <v>SPS3</v>
      </c>
      <c r="C1131" s="5" t="str">
        <f t="shared" si="725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39">IFERROR(G1100/G1027,"-")</f>
        <v>0.62499999999999967</v>
      </c>
      <c r="H1131" s="4">
        <f t="shared" si="739"/>
        <v>0.44125501346156182</v>
      </c>
      <c r="I1131" s="4">
        <f t="shared" si="739"/>
        <v>0.44508430061714588</v>
      </c>
      <c r="J1131" s="4">
        <f t="shared" si="739"/>
        <v>0.46073567899106282</v>
      </c>
      <c r="K1131" s="4">
        <f t="shared" si="739"/>
        <v>0.49688258539072333</v>
      </c>
    </row>
    <row r="1132" spans="2:11" x14ac:dyDescent="0.25">
      <c r="B1132" s="5" t="str">
        <f t="shared" si="702"/>
        <v>SPS3</v>
      </c>
      <c r="C1132" s="5" t="str">
        <f t="shared" si="725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02"/>
        <v>SPS3</v>
      </c>
      <c r="C1133" s="5" t="str">
        <f t="shared" si="725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40">IFERROR(G1104/G1039,"-")</f>
        <v>-</v>
      </c>
      <c r="H1133" s="4" t="str">
        <f t="shared" si="740"/>
        <v>-</v>
      </c>
      <c r="I1133" s="4" t="str">
        <f t="shared" si="740"/>
        <v>-</v>
      </c>
      <c r="J1133" s="4" t="str">
        <f t="shared" si="740"/>
        <v>-</v>
      </c>
      <c r="K1133" s="4" t="str">
        <f t="shared" si="740"/>
        <v>-</v>
      </c>
    </row>
    <row r="1134" spans="2:11" x14ac:dyDescent="0.25">
      <c r="B1134" s="9" t="str">
        <f t="shared" si="702"/>
        <v>SPS3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41">F1135+F1150+F1155+F1178+F1201</f>
        <v>139.14955697386264</v>
      </c>
      <c r="G1134" s="3">
        <f t="shared" si="741"/>
        <v>140.60187069663394</v>
      </c>
      <c r="H1134" s="3">
        <f t="shared" si="741"/>
        <v>125.033098798007</v>
      </c>
      <c r="I1134" s="3">
        <f t="shared" si="741"/>
        <v>95.903041504434725</v>
      </c>
      <c r="J1134" s="3">
        <f t="shared" si="741"/>
        <v>64.389117197709993</v>
      </c>
      <c r="K1134" s="3">
        <f t="shared" si="741"/>
        <v>47.250794224697614</v>
      </c>
    </row>
    <row r="1135" spans="2:11" x14ac:dyDescent="0.25">
      <c r="B1135" s="5" t="str">
        <f t="shared" si="702"/>
        <v>SPS3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0.73747194078796985</v>
      </c>
      <c r="G1135" s="1">
        <f t="shared" ref="G1135:K1135" si="742">SUM(G1136:G1149)</f>
        <v>1.747859868918189</v>
      </c>
      <c r="H1135" s="1">
        <f t="shared" si="742"/>
        <v>3.1997577955306928</v>
      </c>
      <c r="I1135" s="1">
        <f t="shared" si="742"/>
        <v>13.082960547689481</v>
      </c>
      <c r="J1135" s="1">
        <f t="shared" si="742"/>
        <v>29.863138589355657</v>
      </c>
      <c r="K1135" s="1">
        <f t="shared" si="742"/>
        <v>34.308095979277269</v>
      </c>
    </row>
    <row r="1136" spans="2:11" x14ac:dyDescent="0.25">
      <c r="B1136" s="5" t="str">
        <f t="shared" si="702"/>
        <v>SPS3</v>
      </c>
      <c r="C1136" s="5" t="str">
        <f t="shared" ref="C1136:C1215" si="74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0.46788856562438991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0.37693308304887119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0.26222919173586889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0.11309588354994821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02"/>
        <v>SPS3</v>
      </c>
      <c r="C1137" s="5" t="str">
        <f t="shared" si="74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7.6335232690240822E-3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1.4281713956941845E-2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1.0198958707620161E-2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9.3732655959143738E-3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0.451638990132401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0.99241151594238441</v>
      </c>
    </row>
    <row r="1138" spans="2:11" x14ac:dyDescent="0.25">
      <c r="B1138" s="5" t="str">
        <f t="shared" si="702"/>
        <v>SPS3</v>
      </c>
      <c r="C1138" s="5" t="str">
        <f t="shared" si="74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6.614380799580899E-2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0.10451251535150662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7.4483626780132831E-2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0.10308292253094924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9.3021723350903311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10.171988784458053</v>
      </c>
    </row>
    <row r="1139" spans="2:11" x14ac:dyDescent="0.25">
      <c r="B1139" s="5" t="str">
        <f t="shared" si="702"/>
        <v>SPS3</v>
      </c>
      <c r="C1139" s="5" t="str">
        <f t="shared" si="74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4.5761738473258311E-2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9.6036614134443365E-2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0.10137363579184634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3.4714228533909028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3.8294665381320749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1.4605290700638267</v>
      </c>
    </row>
    <row r="1140" spans="2:11" x14ac:dyDescent="0.25">
      <c r="B1140" s="5" t="str">
        <f t="shared" ref="B1140:B1203" si="744">B1139</f>
        <v>SPS3</v>
      </c>
      <c r="C1140" s="5" t="str">
        <f t="shared" si="74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0.14898895170637527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1.0744572527681562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2.5336276126791595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6.1402258116857746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11.173071803441745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13.405203816241279</v>
      </c>
    </row>
    <row r="1141" spans="2:11" x14ac:dyDescent="0.25">
      <c r="B1141" s="5" t="str">
        <f t="shared" si="744"/>
        <v>SPS3</v>
      </c>
      <c r="C1141" s="5" t="str">
        <f t="shared" si="74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5.1652179389704479E-5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7.965884055674056E-5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1.3955759203521597E-4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2.4161408322576425E-4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2.2907076376648753E-4</v>
      </c>
    </row>
    <row r="1142" spans="2:11" x14ac:dyDescent="0.25">
      <c r="B1142" s="5" t="str">
        <f t="shared" si="744"/>
        <v>SPS3</v>
      </c>
      <c r="C1142" s="5" t="str">
        <f t="shared" si="74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1.0553537191133552E-3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1.9329743418855382E-3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2.720664327442533E-3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1.2271962874897065E-2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3.0609453730698274E-3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4.4820143040298736E-3</v>
      </c>
    </row>
    <row r="1143" spans="2:11" x14ac:dyDescent="0.25">
      <c r="B1143" s="5" t="str">
        <f t="shared" si="744"/>
        <v>SPS3</v>
      </c>
      <c r="C1143" s="5" t="str">
        <f t="shared" si="74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1.7575374601099248E-2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0.11267236847561239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0.37122650424597281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1.533435235535209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3.1881597897718978</v>
      </c>
    </row>
    <row r="1144" spans="2:11" x14ac:dyDescent="0.25">
      <c r="B1144" s="5" t="str">
        <f t="shared" si="744"/>
        <v>SPS3</v>
      </c>
      <c r="C1144" s="5" t="str">
        <f t="shared" si="74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1.3083747155280532E-3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3.4384213772510604E-3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2.6261539427729293E-2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4.029737527353661E-3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2.4050527960402593E-3</v>
      </c>
    </row>
    <row r="1145" spans="2:11" x14ac:dyDescent="0.25">
      <c r="B1145" s="5" t="str">
        <f t="shared" si="744"/>
        <v>SPS3</v>
      </c>
      <c r="C1145" s="5" t="str">
        <f t="shared" ref="C1145:C1149" si="74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6.664371368686047E-5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8.2159988446258299E-5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1.4211167813101122E-4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2.4195400709491865E-4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2.3052951610222244E-4</v>
      </c>
    </row>
    <row r="1146" spans="2:11" x14ac:dyDescent="0.25">
      <c r="B1146" s="5" t="str">
        <f t="shared" si="744"/>
        <v>SPS3</v>
      </c>
      <c r="C1146" s="5" t="str">
        <f t="shared" si="74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4.8638380849349417E-5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1.0020310006030858E-4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3.444402199009327E-4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1.1899203927219559E-2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2.7113330772791575E-2</v>
      </c>
    </row>
    <row r="1147" spans="2:11" x14ac:dyDescent="0.25">
      <c r="B1147" s="5" t="str">
        <f t="shared" si="744"/>
        <v>SPS3</v>
      </c>
      <c r="C1147" s="5" t="str">
        <f t="shared" si="74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6.0415261614523923E-2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9.798277769554356E-2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0.65387548100505222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2.2132165223814426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2.5984494853414883</v>
      </c>
    </row>
    <row r="1148" spans="2:11" x14ac:dyDescent="0.25">
      <c r="B1148" s="5" t="str">
        <f t="shared" si="744"/>
        <v>SPS3</v>
      </c>
      <c r="C1148" s="5" t="str">
        <f t="shared" si="74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2.3977011130755385E-4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7.6851603115223597E-4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2.9396308833267628E-3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3.9791415103767871E-3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2.4366924867527499E-3</v>
      </c>
    </row>
    <row r="1149" spans="2:11" x14ac:dyDescent="0.25">
      <c r="B1149" s="5" t="str">
        <f t="shared" si="744"/>
        <v>SPS3</v>
      </c>
      <c r="C1149" s="5" t="str">
        <f t="shared" si="74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2.1785585830089467</v>
      </c>
      <c r="J1149" s="1">
        <f>[1]Transport!F$32</f>
        <v>1.3366845682141129</v>
      </c>
      <c r="K1149" s="1">
        <f>[1]Transport!G$32</f>
        <v>2.4544568268188538</v>
      </c>
    </row>
    <row r="1150" spans="2:11" x14ac:dyDescent="0.25">
      <c r="B1150" s="5" t="str">
        <f t="shared" si="744"/>
        <v>SPS3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9.4996075618292012E-4</v>
      </c>
      <c r="G1150" s="1">
        <f t="shared" ref="G1150:K1150" si="746">SUM(G1151:G1154)</f>
        <v>2.4756020115903653E-3</v>
      </c>
      <c r="H1150" s="1">
        <f t="shared" si="746"/>
        <v>3.3184391361800679E-3</v>
      </c>
      <c r="I1150" s="1">
        <f t="shared" si="746"/>
        <v>4.8729846092187218E-3</v>
      </c>
      <c r="J1150" s="1">
        <f t="shared" si="746"/>
        <v>4.3261694833362882E-2</v>
      </c>
      <c r="K1150" s="1">
        <f t="shared" si="746"/>
        <v>1.3857873979278195</v>
      </c>
    </row>
    <row r="1151" spans="2:11" x14ac:dyDescent="0.25">
      <c r="B1151" s="5" t="str">
        <f t="shared" si="744"/>
        <v>SPS3</v>
      </c>
      <c r="C1151" s="5" t="str">
        <f t="shared" si="74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1.1822619105660912E-4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3.0150272280818905E-4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5.7836813840591737E-4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3.9060093869147029E-2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2.0544352679913013E-2</v>
      </c>
    </row>
    <row r="1152" spans="2:11" x14ac:dyDescent="0.25">
      <c r="B1152" s="5" t="str">
        <f t="shared" si="744"/>
        <v>SPS3</v>
      </c>
      <c r="C1152" s="5" t="str">
        <f t="shared" si="74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8.8789479688034404E-5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2.0707298464486457E-4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3.9807650114336577E-4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8.6422802480233573E-4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9.2642535266539323E-4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4.9302819107631065E-4</v>
      </c>
    </row>
    <row r="1153" spans="2:11" x14ac:dyDescent="0.25">
      <c r="B1153" s="5" t="str">
        <f t="shared" si="744"/>
        <v>SPS3</v>
      </c>
      <c r="C1153" s="5" t="str">
        <f t="shared" si="74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8.6117127649488567E-4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2.0007622139891989E-3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2.1093859120914814E-3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2.1964107018683583E-3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7.7931822040979456E-4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5.4340873540603739E-4</v>
      </c>
    </row>
    <row r="1154" spans="2:11" x14ac:dyDescent="0.25">
      <c r="B1154" s="5" t="str">
        <f t="shared" si="744"/>
        <v>SPS3</v>
      </c>
      <c r="C1154" s="5" t="str">
        <f t="shared" si="74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1.4954062189969264E-4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5.0947400013703177E-4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1.2339777441421108E-3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2.4958573911406682E-3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1.3642066083214242</v>
      </c>
    </row>
    <row r="1155" spans="2:11" x14ac:dyDescent="0.25">
      <c r="B1155" s="5" t="str">
        <f t="shared" si="744"/>
        <v>SPS3</v>
      </c>
      <c r="C1155" s="5" t="str">
        <f t="shared" si="743"/>
        <v>CH</v>
      </c>
      <c r="D1155" t="s">
        <v>1258</v>
      </c>
      <c r="E1155" t="s">
        <v>8</v>
      </c>
      <c r="F1155" s="1">
        <f>SUM(F1160:F1177)</f>
        <v>77.941980882352354</v>
      </c>
      <c r="G1155" s="1">
        <f t="shared" ref="G1155:K1155" si="747">SUM(G1160:G1177)</f>
        <v>78.865180177852878</v>
      </c>
      <c r="H1155" s="1">
        <f t="shared" si="747"/>
        <v>75.459462562374</v>
      </c>
      <c r="I1155" s="1">
        <f t="shared" si="747"/>
        <v>50.636362292374812</v>
      </c>
      <c r="J1155" s="1">
        <f t="shared" si="747"/>
        <v>23.611046250712615</v>
      </c>
      <c r="K1155" s="1">
        <f t="shared" si="747"/>
        <v>7.8312610273856773</v>
      </c>
    </row>
    <row r="1156" spans="2:11" x14ac:dyDescent="0.25">
      <c r="B1156" s="5" t="str">
        <f t="shared" si="744"/>
        <v>SPS3</v>
      </c>
      <c r="C1156" s="5" t="str">
        <f t="shared" si="743"/>
        <v>CH</v>
      </c>
      <c r="D1156" t="s">
        <v>1259</v>
      </c>
      <c r="E1156" t="str">
        <f>E1155</f>
        <v>PJ/yr.</v>
      </c>
      <c r="F1156" s="1">
        <f>F1155-F1157</f>
        <v>73.675311686297562</v>
      </c>
      <c r="G1156" s="1">
        <f t="shared" ref="G1156:K1156" si="748">G1155-G1157</f>
        <v>74.547965079783751</v>
      </c>
      <c r="H1156" s="1">
        <f t="shared" si="748"/>
        <v>71.300577549090178</v>
      </c>
      <c r="I1156" s="1">
        <f t="shared" si="748"/>
        <v>45.35677829480985</v>
      </c>
      <c r="J1156" s="1">
        <f t="shared" si="748"/>
        <v>13.856470040827709</v>
      </c>
      <c r="K1156" s="1">
        <f t="shared" si="748"/>
        <v>-2.2009967153874932E-2</v>
      </c>
    </row>
    <row r="1157" spans="2:11" x14ac:dyDescent="0.25">
      <c r="B1157" s="5" t="str">
        <f t="shared" si="744"/>
        <v>SPS3</v>
      </c>
      <c r="C1157" s="5" t="str">
        <f t="shared" si="743"/>
        <v>CH</v>
      </c>
      <c r="D1157" t="s">
        <v>1260</v>
      </c>
      <c r="E1157" t="str">
        <f>E1156</f>
        <v>PJ/yr.</v>
      </c>
      <c r="F1157" s="1">
        <f>SUM(F1158:F1159)</f>
        <v>4.2666691960547887</v>
      </c>
      <c r="G1157" s="1">
        <f t="shared" ref="G1157" si="749">SUM(G1158:G1159)</f>
        <v>4.31721509806912</v>
      </c>
      <c r="H1157" s="1">
        <f t="shared" ref="H1157" si="750">SUM(H1158:H1159)</f>
        <v>4.1588850132838271</v>
      </c>
      <c r="I1157" s="1">
        <f t="shared" ref="I1157" si="751">SUM(I1158:I1159)</f>
        <v>5.2795839975649654</v>
      </c>
      <c r="J1157" s="1">
        <f t="shared" ref="J1157" si="752">SUM(J1158:J1159)</f>
        <v>9.754576209884906</v>
      </c>
      <c r="K1157" s="1">
        <f t="shared" ref="K1157" si="753">SUM(K1158:K1159)</f>
        <v>7.8532709945395522</v>
      </c>
    </row>
    <row r="1158" spans="2:11" x14ac:dyDescent="0.25">
      <c r="B1158" s="5" t="str">
        <f t="shared" si="744"/>
        <v>SPS3</v>
      </c>
      <c r="C1158" s="5" t="str">
        <f t="shared" si="74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4.2666691960547887</v>
      </c>
      <c r="G1158" s="1">
        <f>[1]Transport!C$25/SUM([1]Transport!C$21,[1]Transport!C$25)*G1155*(G$34+G$598)/(G$34+G$598+G$37)</f>
        <v>4.31721509806912</v>
      </c>
      <c r="H1158" s="1">
        <f>[1]Transport!D$25/SUM([1]Transport!D$21,[1]Transport!D$25)*H1155*(H$34+H$598)/(H$34+H$598+H$37)</f>
        <v>4.1588850132838271</v>
      </c>
      <c r="I1158" s="1">
        <f>[1]Transport!E$25/SUM([1]Transport!E$21,[1]Transport!E$25)*I1155*(I$34+I$598)/(I$34+I$598+I$37)</f>
        <v>5.2795839975649654</v>
      </c>
      <c r="J1158" s="1">
        <f>[1]Transport!F$25/SUM([1]Transport!F$21,[1]Transport!F$25)*J1155*(J$34+J$598)/(J$34+J$598+J$37)</f>
        <v>4.1726367414039851</v>
      </c>
      <c r="K1158" s="1">
        <f>[1]Transport!G$25/SUM([1]Transport!G$21,[1]Transport!G$25)*K1155*(K$34+K$598)/(K$34+K$598+K$37)</f>
        <v>6.3556178715845251</v>
      </c>
    </row>
    <row r="1159" spans="2:11" x14ac:dyDescent="0.25">
      <c r="B1159" s="5" t="str">
        <f t="shared" si="744"/>
        <v>SPS3</v>
      </c>
      <c r="C1159" s="5" t="str">
        <f t="shared" si="74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5.5819394684809218</v>
      </c>
      <c r="K1159" s="1">
        <f>(K$37+K$717)/([1]Transport!G$21+[1]Transport!G$25)*K1155</f>
        <v>1.4976531229550272</v>
      </c>
    </row>
    <row r="1160" spans="2:11" x14ac:dyDescent="0.25">
      <c r="B1160" s="5" t="str">
        <f t="shared" si="744"/>
        <v>SPS3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1.2540854984554555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1.2428808823368993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0.92516959117586606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0.43896475791463124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44"/>
        <v>SPS3</v>
      </c>
      <c r="C1161" s="5" t="str">
        <f t="shared" si="74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4.5627031931796694E-2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5.3518457534925894E-2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0.44701126616146325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1.1985920968855666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1.0916049376225001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0.2151219009759599</v>
      </c>
    </row>
    <row r="1162" spans="2:11" x14ac:dyDescent="0.25">
      <c r="B1162" s="5" t="str">
        <f t="shared" si="744"/>
        <v>SPS3</v>
      </c>
      <c r="C1162" s="5" t="str">
        <f t="shared" si="74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0.13904138040621156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0.20426686657434967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1.331634318616447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6.0980189304176156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2.3246493499693779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0.27024131094856019</v>
      </c>
    </row>
    <row r="1163" spans="2:11" x14ac:dyDescent="0.25">
      <c r="B1163" s="5" t="str">
        <f t="shared" si="744"/>
        <v>SPS3</v>
      </c>
      <c r="C1163" s="5" t="str">
        <f t="shared" si="74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0.10298025980958084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0.85960056395539874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1.2459526347433814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1.0305657728526125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3.8256911558165574E-2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4.7989025046184274E-4</v>
      </c>
    </row>
    <row r="1164" spans="2:11" x14ac:dyDescent="0.25">
      <c r="B1164" s="5" t="str">
        <f t="shared" si="744"/>
        <v>SPS3</v>
      </c>
      <c r="C1164" s="5" t="str">
        <f t="shared" si="74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9.0643160032739603E-2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0.13545550297809608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0.13261286876746131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0.1112348100940056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2.7024299640490304E-3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7.4925516774997103E-4</v>
      </c>
    </row>
    <row r="1165" spans="2:11" x14ac:dyDescent="0.25">
      <c r="B1165" s="5" t="str">
        <f t="shared" si="744"/>
        <v>SPS3</v>
      </c>
      <c r="C1165" s="5" t="str">
        <f t="shared" si="74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63.987655111517853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58.809294647973729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52.026665734793013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11.015106474720369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44"/>
        <v>SPS3</v>
      </c>
      <c r="C1166" s="5" t="str">
        <f t="shared" si="74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0.49698378103889851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0.5507323132821198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0.39004560040549718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0.29962815226545036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2.9907443876938705E-3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2.8606738533753725E-4</v>
      </c>
    </row>
    <row r="1167" spans="2:11" x14ac:dyDescent="0.25">
      <c r="B1167" s="5" t="str">
        <f t="shared" si="744"/>
        <v>SPS3</v>
      </c>
      <c r="C1167" s="5" t="str">
        <f t="shared" si="74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3.7804852891375127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5.3069553716897504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3.767041955323216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4.1047494207631532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3.03088632358396E-3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5.905432820667569E-4</v>
      </c>
    </row>
    <row r="1168" spans="2:11" x14ac:dyDescent="0.25">
      <c r="B1168" s="5" t="str">
        <f t="shared" si="744"/>
        <v>SPS3</v>
      </c>
      <c r="C1168" s="5" t="str">
        <f t="shared" si="74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3.789387097556125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5.7402161173743327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5.6603165808707843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4.5618997103224483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4.3537071441686814E-3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6.286818295745117E-4</v>
      </c>
    </row>
    <row r="1169" spans="2:18" x14ac:dyDescent="0.25">
      <c r="B1169" s="5" t="str">
        <f t="shared" si="744"/>
        <v>SPS3</v>
      </c>
      <c r="C1169" s="5" t="str">
        <f t="shared" si="74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3.9096631542023377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5.2541409365070226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7.9033739461100181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19.197607846808474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15.886155080398874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3.2855306541841021</v>
      </c>
    </row>
    <row r="1170" spans="2:18" x14ac:dyDescent="0.25">
      <c r="B1170" s="5" t="str">
        <f t="shared" si="744"/>
        <v>SPS3</v>
      </c>
      <c r="C1170" s="5" t="str">
        <f t="shared" si="74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3.5460421378852189E-4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1.7726358438894345E-3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3.6093450169218514E-3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1.7789007023446674E-3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3.3334381871601924E-4</v>
      </c>
    </row>
    <row r="1171" spans="2:18" x14ac:dyDescent="0.25">
      <c r="B1171" s="5" t="str">
        <f t="shared" si="744"/>
        <v>SPS3</v>
      </c>
      <c r="C1171" s="5" t="str">
        <f t="shared" si="74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2.882518271592667E-4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1.0138969718882461E-3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2.5752349825135237E-3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2.0583376190039626E-3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5.5735219673463531E-4</v>
      </c>
    </row>
    <row r="1172" spans="2:18" x14ac:dyDescent="0.25">
      <c r="B1172" s="5" t="str">
        <f t="shared" si="744"/>
        <v>SPS3</v>
      </c>
      <c r="C1172" s="5" t="str">
        <f t="shared" si="74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3.7017965996975717E-4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1.6437552465817444E-3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3.1388257578927742E-3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2.3834036251229093E-3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5.8106999121652935E-4</v>
      </c>
    </row>
    <row r="1173" spans="2:18" x14ac:dyDescent="0.25">
      <c r="B1173" s="5" t="str">
        <f t="shared" si="744"/>
        <v>SPS3</v>
      </c>
      <c r="C1173" s="5" t="str">
        <f t="shared" si="74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4.0703283707931839E-4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2.733149681712458E-3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8.0811984375638943E-3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8.4834234500663856E-3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2.7182224959787439E-3</v>
      </c>
    </row>
    <row r="1174" spans="2:18" x14ac:dyDescent="0.25">
      <c r="B1174" s="5" t="str">
        <f t="shared" si="744"/>
        <v>SPS3</v>
      </c>
      <c r="C1174" s="5" t="str">
        <f t="shared" si="74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2.991350070383841E-4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1.162288504952477E-3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1.4228750745789904E-3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1.4156323428567872E-3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1.1410385471659792E-3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5.16250907218526E-4</v>
      </c>
    </row>
    <row r="1175" spans="2:18" x14ac:dyDescent="0.25">
      <c r="B1175" s="5" t="str">
        <f t="shared" si="744"/>
        <v>SPS3</v>
      </c>
      <c r="C1175" s="5" t="str">
        <f t="shared" si="74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8.5068594173639669E-2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0.16359299016001599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0.11130170935121524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0.10303175416948193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3.1931931006193563E-2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8.1237202393736746E-3</v>
      </c>
    </row>
    <row r="1176" spans="2:18" x14ac:dyDescent="0.25">
      <c r="B1176" s="5" t="str">
        <f t="shared" si="744"/>
        <v>SPS3</v>
      </c>
      <c r="C1176" s="5" t="str">
        <f t="shared" si="74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9.0397779180101515E-2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0.23948571686489326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1.2190236786597786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2.2805323720907786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4.1971817135189236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4.041315132374991</v>
      </c>
    </row>
    <row r="1177" spans="2:18" x14ac:dyDescent="0.25">
      <c r="B1177" s="5" t="str">
        <f t="shared" si="744"/>
        <v>SPS3</v>
      </c>
      <c r="C1177" s="5" t="str">
        <f t="shared" si="74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0.16966360990305904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0.30245745357841652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0.29072636457719214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0.17760995653247735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1.2343454875378404E-2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3.4876313376349323E-3</v>
      </c>
    </row>
    <row r="1178" spans="2:18" x14ac:dyDescent="0.25">
      <c r="B1178" s="5" t="str">
        <f t="shared" si="744"/>
        <v>SPS3</v>
      </c>
      <c r="C1178" s="5" t="str">
        <f t="shared" si="743"/>
        <v>CH</v>
      </c>
      <c r="D1178" t="s">
        <v>1281</v>
      </c>
      <c r="E1178" t="s">
        <v>8</v>
      </c>
      <c r="F1178" s="1">
        <f>SUM(F1183:F1200)</f>
        <v>60.365447017223794</v>
      </c>
      <c r="G1178" s="1">
        <f t="shared" ref="G1178:K1178" si="754">SUM(G1183:G1200)</f>
        <v>59.882470522816085</v>
      </c>
      <c r="H1178" s="1">
        <f t="shared" si="754"/>
        <v>46.283999734663674</v>
      </c>
      <c r="I1178" s="1">
        <f t="shared" si="754"/>
        <v>32.177818708013824</v>
      </c>
      <c r="J1178" s="1">
        <f t="shared" si="754"/>
        <v>10.871031183666304</v>
      </c>
      <c r="K1178" s="1">
        <f t="shared" si="754"/>
        <v>3.7254834879566254</v>
      </c>
    </row>
    <row r="1179" spans="2:18" x14ac:dyDescent="0.25">
      <c r="B1179" s="5" t="str">
        <f t="shared" si="744"/>
        <v>SPS3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58.863670201077859</v>
      </c>
      <c r="G1179" s="1">
        <f t="shared" ref="G1179:K1179" si="755">G1178-G1180</f>
        <v>58.298530141366371</v>
      </c>
      <c r="H1179" s="1">
        <f t="shared" si="755"/>
        <v>44.791847552786486</v>
      </c>
      <c r="I1179" s="1">
        <f t="shared" si="755"/>
        <v>30.828934702480005</v>
      </c>
      <c r="J1179" s="1">
        <f t="shared" si="755"/>
        <v>9.5022065208456041</v>
      </c>
      <c r="K1179" s="1">
        <f t="shared" si="755"/>
        <v>-0.30284612820617651</v>
      </c>
    </row>
    <row r="1180" spans="2:18" x14ac:dyDescent="0.25">
      <c r="B1180" s="5" t="str">
        <f t="shared" si="744"/>
        <v>SPS3</v>
      </c>
      <c r="C1180" s="5" t="str">
        <f t="shared" ref="C1180:C1182" si="756">C1179</f>
        <v>CH</v>
      </c>
      <c r="D1180" t="s">
        <v>1283</v>
      </c>
      <c r="E1180" t="str">
        <f t="shared" ref="E1180:E1182" si="757">E1179</f>
        <v>PJ/yr.</v>
      </c>
      <c r="F1180" s="1">
        <f>SUM(F1181:F1182)</f>
        <v>1.5017768161459337</v>
      </c>
      <c r="G1180" s="1">
        <f t="shared" ref="G1180" si="758">SUM(G1181:G1182)</f>
        <v>1.5839403814497142</v>
      </c>
      <c r="H1180" s="1">
        <f t="shared" ref="H1180" si="759">SUM(H1181:H1182)</f>
        <v>1.492152181877189</v>
      </c>
      <c r="I1180" s="1">
        <f t="shared" ref="I1180" si="760">SUM(I1181:I1182)</f>
        <v>1.3488840055338189</v>
      </c>
      <c r="J1180" s="1">
        <f t="shared" ref="J1180" si="761">SUM(J1181:J1182)</f>
        <v>1.3688246628207001</v>
      </c>
      <c r="K1180" s="1">
        <f t="shared" ref="K1180" si="762">SUM(K1181:K1182)</f>
        <v>4.0283296161628019</v>
      </c>
    </row>
    <row r="1181" spans="2:18" x14ac:dyDescent="0.25">
      <c r="B1181" s="5" t="str">
        <f t="shared" si="744"/>
        <v>SPS3</v>
      </c>
      <c r="C1181" s="5" t="str">
        <f t="shared" si="756"/>
        <v>CH</v>
      </c>
      <c r="D1181" t="s">
        <v>1284</v>
      </c>
      <c r="E1181" t="str">
        <f t="shared" si="757"/>
        <v>PJ/yr.</v>
      </c>
      <c r="F1181" s="1">
        <f>[1]Transport!B$26/SUM([1]Transport!B$22,[1]Transport!B$26)*F1178*(F$33+F$580)/(F$33+F$580+F$36)</f>
        <v>1.5017768161459337</v>
      </c>
      <c r="G1181" s="1">
        <f>[1]Transport!C$26/SUM([1]Transport!C$22,[1]Transport!C$26)*G1178*(G$33+G$580)/(G$33+G$580+G$36)</f>
        <v>1.5839403814497142</v>
      </c>
      <c r="H1181" s="1">
        <f>[1]Transport!D$26/SUM([1]Transport!D$22,[1]Transport!D$26)*H1178*(H$33+H$580)/(H$33+H$580+H$36)</f>
        <v>1.492152181877189</v>
      </c>
      <c r="I1181" s="1">
        <f>[1]Transport!E$26/SUM([1]Transport!E$22,[1]Transport!E$26)*I1178*(I$33+I$580)/(I$33+I$580+I$36)</f>
        <v>1.3488840055338189</v>
      </c>
      <c r="J1181" s="1">
        <f>[1]Transport!F$26/SUM([1]Transport!F$22,[1]Transport!F$26)*J1178*(J$33+J$580)/(J$33+J$580+J$36)</f>
        <v>0.61893840020294799</v>
      </c>
      <c r="K1181" s="1">
        <f>[1]Transport!G$26/SUM([1]Transport!G$22,[1]Transport!G$26)*K1178*(K$33+K$580)/(K$33+K$580+K$36)</f>
        <v>0.66970425642804376</v>
      </c>
    </row>
    <row r="1182" spans="2:18" x14ac:dyDescent="0.25">
      <c r="B1182" s="5" t="str">
        <f t="shared" si="744"/>
        <v>SPS3</v>
      </c>
      <c r="C1182" s="5" t="str">
        <f t="shared" si="756"/>
        <v>CH</v>
      </c>
      <c r="D1182" t="s">
        <v>1285</v>
      </c>
      <c r="E1182" t="str">
        <f t="shared" si="757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0.74988626261775226</v>
      </c>
      <c r="K1182" s="1">
        <f>(K$36+K$716)/([1]Transport!G$22+[1]Transport!G$26)*K1178</f>
        <v>3.3586253597347584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 t="shared" si="744"/>
        <v>SPS3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44"/>
        <v>SPS3</v>
      </c>
      <c r="C1184" s="5" t="str">
        <f t="shared" si="74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3.2027427494458063E-5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0.17734134880189498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0.12043922561072168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0.44690357613533016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0.45096439248934089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9.1736734431854455E-2</v>
      </c>
      <c r="R1184" s="1"/>
    </row>
    <row r="1185" spans="2:11" x14ac:dyDescent="0.25">
      <c r="B1185" s="5" t="str">
        <f t="shared" si="744"/>
        <v>SPS3</v>
      </c>
      <c r="C1185" s="5" t="str">
        <f t="shared" si="74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2.7301011867475224E-3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0.66404135699616518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1.3255773438791425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4.5463045501825414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2.042400739666097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0.32395254941600976</v>
      </c>
    </row>
    <row r="1186" spans="2:11" x14ac:dyDescent="0.25">
      <c r="B1186" s="5" t="str">
        <f t="shared" si="744"/>
        <v>SPS3</v>
      </c>
      <c r="C1186" s="5" t="str">
        <f t="shared" si="74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2.8822708589811147E-2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0.19540012383546485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0.18707117520474487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0.14888436981228101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1.8879181423756481E-3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4.7378353255134615E-4</v>
      </c>
    </row>
    <row r="1187" spans="2:11" x14ac:dyDescent="0.25">
      <c r="B1187" s="5" t="str">
        <f t="shared" si="744"/>
        <v>SPS3</v>
      </c>
      <c r="C1187" s="5" t="str">
        <f t="shared" si="74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3.5089491474129465E-2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0.48054422856744805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0.46317381928311646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0.37483327701534186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3.2449774997057347E-3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7.3652565924695957E-4</v>
      </c>
    </row>
    <row r="1188" spans="2:11" x14ac:dyDescent="0.25">
      <c r="B1188" s="5" t="str">
        <f t="shared" si="744"/>
        <v>SPS3</v>
      </c>
      <c r="C1188" s="5" t="str">
        <f t="shared" si="74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52.132040649011508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48.700924001170108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34.738185300387059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16.031954036696241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44"/>
        <v>SPS3</v>
      </c>
      <c r="C1189" s="5" t="str">
        <f t="shared" si="74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5.0804123782671583E-3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6.1632891066434039E-3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4.9545725596578521E-3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4.303444424648928E-3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8.5690757265882657E-4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1.4516688008566609E-4</v>
      </c>
    </row>
    <row r="1190" spans="2:11" x14ac:dyDescent="0.25">
      <c r="B1190" s="5" t="str">
        <f t="shared" si="744"/>
        <v>SPS3</v>
      </c>
      <c r="C1190" s="5" t="str">
        <f t="shared" si="74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1.2032577518811489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1.2833065613160628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0.9172581405161937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0.92595429178684641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1.1994407814750526E-3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2.2622793843481132E-4</v>
      </c>
    </row>
    <row r="1191" spans="2:11" x14ac:dyDescent="0.25">
      <c r="B1191" s="5" t="str">
        <f t="shared" si="744"/>
        <v>SPS3</v>
      </c>
      <c r="C1191" s="5" t="str">
        <f t="shared" si="74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5.0213740781409753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5.3268843005651734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5.2760651732115145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4.030533867926585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1.3333400637092535E-3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2.3348816390923808E-4</v>
      </c>
    </row>
    <row r="1192" spans="2:11" x14ac:dyDescent="0.25">
      <c r="B1192" s="5" t="str">
        <f t="shared" si="744"/>
        <v>SPS3</v>
      </c>
      <c r="C1192" s="5" t="str">
        <f t="shared" si="74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1.9312895161166357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2.2107284313190929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2.173653529782698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1.6745644341067261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8.1812282148407598E-4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1.5254154826398829E-4</v>
      </c>
    </row>
    <row r="1193" spans="2:11" x14ac:dyDescent="0.25">
      <c r="B1193" s="5" t="str">
        <f t="shared" si="744"/>
        <v>SPS3</v>
      </c>
      <c r="C1193" s="5" t="str">
        <f t="shared" si="74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3.9439369327962922E-4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1.1748207163983565E-3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3.3779174258807953E-3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2.3894982835133858E-3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6.2211696925148097E-4</v>
      </c>
    </row>
    <row r="1194" spans="2:11" x14ac:dyDescent="0.25">
      <c r="B1194" s="5" t="str">
        <f t="shared" si="744"/>
        <v>SPS3</v>
      </c>
      <c r="C1194" s="5" t="str">
        <f t="shared" si="74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3.0633150142509081E-4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9.5693129024536881E-4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2.9207740011451548E-3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2.7442632641485271E-3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8.2172664960498748E-4</v>
      </c>
    </row>
    <row r="1195" spans="2:11" x14ac:dyDescent="0.25">
      <c r="B1195" s="5" t="str">
        <f t="shared" si="744"/>
        <v>SPS3</v>
      </c>
      <c r="C1195" s="5" t="str">
        <f t="shared" si="74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3.9980382957082393E-4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1.5786362825756406E-3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3.195805449012881E-3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2.875755986175932E-3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8.1014079671661834E-4</v>
      </c>
    </row>
    <row r="1196" spans="2:11" x14ac:dyDescent="0.25">
      <c r="B1196" s="5" t="str">
        <f t="shared" si="744"/>
        <v>SPS3</v>
      </c>
      <c r="C1196" s="5" t="str">
        <f t="shared" si="74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3.0763669584121843E-4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1.0216713324772185E-3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1.6902122795785883E-3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1.5735721661117093E-3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4.8009121623659529E-4</v>
      </c>
    </row>
    <row r="1197" spans="2:11" x14ac:dyDescent="0.25">
      <c r="B1197" s="5" t="str">
        <f t="shared" si="744"/>
        <v>SPS3</v>
      </c>
      <c r="C1197" s="5" t="str">
        <f t="shared" si="74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1.7502347312151985E-5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1.4710208939822072E-3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1.4395658850974375E-3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1.4143550179104814E-3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1.1250470699713851E-3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5.1105237190141918E-4</v>
      </c>
    </row>
    <row r="1198" spans="2:11" x14ac:dyDescent="0.25">
      <c r="B1198" s="5" t="str">
        <f t="shared" si="744"/>
        <v>SPS3</v>
      </c>
      <c r="C1198" s="5" t="str">
        <f t="shared" si="74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1.329103430817852E-5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9.2420507593902654E-4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1.5046818983573108E-3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2.8469957376108619E-3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0.21362452533786236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4.8675942183426482E-2</v>
      </c>
    </row>
    <row r="1199" spans="2:11" x14ac:dyDescent="0.25">
      <c r="B1199" s="5" t="str">
        <f t="shared" si="744"/>
        <v>SPS3</v>
      </c>
      <c r="C1199" s="5" t="str">
        <f t="shared" si="74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1.0897189331130603E-4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0.81123086080953799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1.0446908827299621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3.9585268210139142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8.1310154186783183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3.2524114594694336</v>
      </c>
    </row>
    <row r="1200" spans="2:11" x14ac:dyDescent="0.25">
      <c r="B1200" s="5" t="str">
        <f t="shared" si="744"/>
        <v>SPS3</v>
      </c>
      <c r="C1200" s="5" t="str">
        <f t="shared" si="74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5.5905157421473313E-3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2.2102628638452238E-2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2.5254264093708206E-2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1.9609979002227045E-2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1.2977263843356027E-2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3.4939407296984588E-3</v>
      </c>
    </row>
    <row r="1201" spans="2:11" x14ac:dyDescent="0.25">
      <c r="B1201" s="5" t="str">
        <f t="shared" si="744"/>
        <v>SPS3</v>
      </c>
      <c r="C1201" s="5" t="str">
        <f t="shared" si="743"/>
        <v>CH</v>
      </c>
      <c r="D1201" t="s">
        <v>1304</v>
      </c>
      <c r="E1201" t="s">
        <v>8</v>
      </c>
      <c r="F1201" s="1">
        <f>SUM(F1206:F1210)</f>
        <v>0.10370717274233904</v>
      </c>
      <c r="G1201" s="1">
        <f t="shared" ref="G1201:K1201" si="763">SUM(G1206:G1210)</f>
        <v>0.10388452503519208</v>
      </c>
      <c r="H1201" s="1">
        <f t="shared" si="763"/>
        <v>8.6560266302474556E-2</v>
      </c>
      <c r="I1201" s="1">
        <f t="shared" si="763"/>
        <v>1.026971747392234E-3</v>
      </c>
      <c r="J1201" s="1">
        <f t="shared" si="763"/>
        <v>6.3947914205308748E-4</v>
      </c>
      <c r="K1201" s="1">
        <f t="shared" si="763"/>
        <v>1.6633215022125928E-4</v>
      </c>
    </row>
    <row r="1202" spans="2:11" x14ac:dyDescent="0.25">
      <c r="B1202" s="5" t="str">
        <f t="shared" si="744"/>
        <v>SPS3</v>
      </c>
      <c r="C1202" s="5" t="str">
        <f t="shared" si="743"/>
        <v>CH</v>
      </c>
      <c r="D1202" t="s">
        <v>1336</v>
      </c>
      <c r="E1202" t="s">
        <v>8</v>
      </c>
      <c r="F1202" s="1">
        <f>F1201-F1203</f>
        <v>9.5897016371695301E-2</v>
      </c>
      <c r="G1202" s="1">
        <f t="shared" ref="G1202:K1202" si="764">G1201-G1203</f>
        <v>9.3945752336053734E-2</v>
      </c>
      <c r="H1202" s="1">
        <f t="shared" si="764"/>
        <v>7.8284008991997681E-2</v>
      </c>
      <c r="I1202" s="1">
        <f t="shared" si="764"/>
        <v>8.4412557900311882E-4</v>
      </c>
      <c r="J1202" s="1">
        <f t="shared" si="764"/>
        <v>-4.7747924216235624E-2</v>
      </c>
      <c r="K1202" s="1">
        <f t="shared" si="764"/>
        <v>1.6422778495035756E-4</v>
      </c>
    </row>
    <row r="1203" spans="2:11" x14ac:dyDescent="0.25">
      <c r="B1203" s="5" t="str">
        <f t="shared" si="744"/>
        <v>SPS3</v>
      </c>
      <c r="C1203" s="5" t="str">
        <f t="shared" si="743"/>
        <v>CH</v>
      </c>
      <c r="D1203" t="s">
        <v>1337</v>
      </c>
      <c r="E1203" t="s">
        <v>8</v>
      </c>
      <c r="F1203" s="1">
        <f>SUM(F1204:F1205)</f>
        <v>7.8101563706437348E-3</v>
      </c>
      <c r="G1203" s="1">
        <f t="shared" ref="G1203" si="765">SUM(G1204:G1205)</f>
        <v>9.9387726991383412E-3</v>
      </c>
      <c r="H1203" s="1">
        <f t="shared" ref="H1203" si="766">SUM(H1204:H1205)</f>
        <v>8.2762573104768807E-3</v>
      </c>
      <c r="I1203" s="1">
        <f t="shared" ref="I1203" si="767">SUM(I1204:I1205)</f>
        <v>1.8284616838911525E-4</v>
      </c>
      <c r="J1203" s="1">
        <f t="shared" ref="J1203" si="768">SUM(J1204:J1205)</f>
        <v>4.8387403358288714E-2</v>
      </c>
      <c r="K1203" s="1">
        <f t="shared" ref="K1203" si="769">SUM(K1204:K1205)</f>
        <v>2.1043652709017137E-6</v>
      </c>
    </row>
    <row r="1204" spans="2:11" x14ac:dyDescent="0.25">
      <c r="B1204" s="5" t="str">
        <f t="shared" ref="B1204:B1267" si="770">B1203</f>
        <v>SPS3</v>
      </c>
      <c r="C1204" s="5" t="str">
        <f t="shared" si="74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7.8101563706437348E-3</v>
      </c>
      <c r="G1204" s="1">
        <f>[1]Transport!C$27/SUM([1]Transport!C$24,[1]Transport!C$27)*G1201*(G$45+G$612)/(G$45+G$612+G$47)</f>
        <v>9.9387726991383412E-3</v>
      </c>
      <c r="H1204" s="1">
        <f>[1]Transport!D$27/SUM([1]Transport!D$24,[1]Transport!D$27)*H1201*(H$45+H$612)/(H$45+H$612+H$47)</f>
        <v>8.2762573104768807E-3</v>
      </c>
      <c r="I1204" s="1">
        <f>[1]Transport!E$27/SUM([1]Transport!E$24,[1]Transport!E$27)*I1201*(I$45+I$612)/(I$45+I$612+I$47)</f>
        <v>1.8284616838911525E-4</v>
      </c>
      <c r="J1204" s="1">
        <f>[1]Transport!F$27/SUM([1]Transport!F$24,[1]Transport!F$27)*J1201*(J$45+J$612)/(J$45+J$612+J$47)</f>
        <v>4.6010732673654841E-6</v>
      </c>
      <c r="K1204" s="1">
        <f>[1]Transport!G$27/SUM([1]Transport!G$24,[1]Transport!G$27)*K1201*(K$45+K$612)/(K$45+K$612+K$47)</f>
        <v>1.2074191543851849E-6</v>
      </c>
    </row>
    <row r="1205" spans="2:11" x14ac:dyDescent="0.25">
      <c r="B1205" s="5" t="str">
        <f t="shared" si="770"/>
        <v>SPS3</v>
      </c>
      <c r="C1205" s="5" t="str">
        <f t="shared" si="74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4.8382802285021349E-2</v>
      </c>
      <c r="K1205" s="1">
        <f>(K$47+K$714)/([1]Transport!G$24+[1]Transport!G$27)*K1201</f>
        <v>8.9694611651652867E-7</v>
      </c>
    </row>
    <row r="1206" spans="2:11" x14ac:dyDescent="0.25">
      <c r="B1206" s="5" t="str">
        <f t="shared" si="770"/>
        <v>SPS3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70"/>
        <v>SPS3</v>
      </c>
      <c r="C1207" s="5" t="str">
        <f t="shared" si="74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3.5606811547332405E-3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3.9350243078149529E-3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2.9854527903164243E-3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1.8155490316063122E-4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6.4292246254541756E-5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1.6776088193915997E-5</v>
      </c>
    </row>
    <row r="1208" spans="2:11" x14ac:dyDescent="0.25">
      <c r="B1208" s="5" t="str">
        <f t="shared" si="770"/>
        <v>SPS3</v>
      </c>
      <c r="C1208" s="5" t="str">
        <f t="shared" si="74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4.7701638171764212E-2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4.785598765849404E-2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3.4768197524335569E-2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1.759643372942773E-4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1.5252305785092479E-4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3.9476291034725676E-5</v>
      </c>
    </row>
    <row r="1209" spans="2:11" x14ac:dyDescent="0.25">
      <c r="B1209" s="5" t="str">
        <f t="shared" si="770"/>
        <v>SPS3</v>
      </c>
      <c r="C1209" s="5" t="str">
        <f t="shared" si="74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4.2732935902340995E-3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4.8854664927685826E-3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4.8523273560060675E-3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5.5613797919941454E-4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2.22306668972958E-4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5.813503721776992E-5</v>
      </c>
    </row>
    <row r="1210" spans="2:11" x14ac:dyDescent="0.25">
      <c r="B1210" s="5" t="str">
        <f t="shared" si="770"/>
        <v>SPS3</v>
      </c>
      <c r="C1210" s="5" t="str">
        <f t="shared" si="74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4.8171559825607481E-2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4.7208046576114514E-2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4.3954288631816496E-2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1.1331452773791105E-4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2.0035716897466298E-4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5.1944733774847696E-5</v>
      </c>
    </row>
    <row r="1211" spans="2:11" x14ac:dyDescent="0.25">
      <c r="B1211" s="5" t="str">
        <f t="shared" si="770"/>
        <v>SPS3</v>
      </c>
      <c r="C1211" s="5" t="str">
        <f t="shared" si="743"/>
        <v>CH</v>
      </c>
      <c r="D1211" s="2" t="s">
        <v>1133</v>
      </c>
      <c r="E1211" s="2" t="s">
        <v>1132</v>
      </c>
      <c r="F1211" s="3">
        <f>SUM(F1212:F1261)</f>
        <v>49.003336927395438</v>
      </c>
      <c r="G1211" s="3">
        <f t="shared" ref="G1211:K1211" si="771">SUM(G1212:G1261)</f>
        <v>57.664238253168605</v>
      </c>
      <c r="H1211" s="3">
        <f t="shared" si="771"/>
        <v>58.440372495792722</v>
      </c>
      <c r="I1211" s="3">
        <f t="shared" si="771"/>
        <v>62.339426038972306</v>
      </c>
      <c r="J1211" s="3">
        <f t="shared" si="771"/>
        <v>62.344599215458231</v>
      </c>
      <c r="K1211" s="3">
        <f t="shared" si="771"/>
        <v>61.150580478705542</v>
      </c>
    </row>
    <row r="1212" spans="2:11" x14ac:dyDescent="0.25">
      <c r="B1212" s="5" t="str">
        <f t="shared" si="770"/>
        <v>SPS3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0.41619249112508733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0.36070436849039267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0.2774635100824705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0.13873233074560823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70"/>
        <v>SPS3</v>
      </c>
      <c r="C1213" s="5" t="str">
        <f t="shared" si="743"/>
        <v>CH</v>
      </c>
      <c r="D1213" t="s">
        <v>1135</v>
      </c>
      <c r="E1213" t="str">
        <f t="shared" ref="E1213:E1261" si="772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1.382944016560027E-2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2.5873780909427459E-2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1.8477167649545014E-2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1.6981282580350282E-2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0.90018872611001965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2.1356277848536522</v>
      </c>
    </row>
    <row r="1214" spans="2:11" x14ac:dyDescent="0.25">
      <c r="B1214" s="5" t="str">
        <f t="shared" si="770"/>
        <v>SPS3</v>
      </c>
      <c r="C1214" s="5" t="str">
        <f t="shared" si="743"/>
        <v>CH</v>
      </c>
      <c r="D1214" t="s">
        <v>1136</v>
      </c>
      <c r="E1214" t="str">
        <f t="shared" si="772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9.6821191524848832E-2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0.1529852388636756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0.10902900380942022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0.15089260337025903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14.736344100510754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17.490726843207344</v>
      </c>
    </row>
    <row r="1215" spans="2:11" x14ac:dyDescent="0.25">
      <c r="B1215" s="5" t="str">
        <f t="shared" si="770"/>
        <v>SPS3</v>
      </c>
      <c r="C1215" s="5" t="str">
        <f t="shared" si="743"/>
        <v>CH</v>
      </c>
      <c r="D1215" t="s">
        <v>1137</v>
      </c>
      <c r="E1215" t="str">
        <f t="shared" si="772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6.1204161828624322E-2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0.12844443128821365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0.13558244544808681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4.6428639554128717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5.2985447649254125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2.232817375098235</v>
      </c>
    </row>
    <row r="1216" spans="2:11" x14ac:dyDescent="0.25">
      <c r="B1216" s="5" t="str">
        <f t="shared" si="770"/>
        <v>SPS3</v>
      </c>
      <c r="C1216" s="5" t="str">
        <f t="shared" ref="C1216:C1262" si="773">C1215</f>
        <v>CH</v>
      </c>
      <c r="D1216" t="s">
        <v>1138</v>
      </c>
      <c r="E1216" t="str">
        <f t="shared" si="772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0.19293665836682342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1.3913930498392462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3.2809791567606084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7.9514261705734111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15.41520063369385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20.559421320003811</v>
      </c>
    </row>
    <row r="1217" spans="2:11" x14ac:dyDescent="0.25">
      <c r="B1217" s="5" t="str">
        <f t="shared" si="770"/>
        <v>SPS3</v>
      </c>
      <c r="C1217" s="5" t="str">
        <f t="shared" si="773"/>
        <v>CH</v>
      </c>
      <c r="D1217" t="s">
        <v>1139</v>
      </c>
      <c r="E1217" t="str">
        <f t="shared" si="772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2.1278301062033013E-4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9.2284230162260569E-4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1.1597908251811137E-3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1.2620942930898617E-3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1.3198748946643172E-3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8.9502407476762483E-4</v>
      </c>
    </row>
    <row r="1218" spans="2:11" x14ac:dyDescent="0.25">
      <c r="B1218" s="5" t="str">
        <f t="shared" si="770"/>
        <v>SPS3</v>
      </c>
      <c r="C1218" s="5" t="str">
        <f t="shared" si="773"/>
        <v>CH</v>
      </c>
      <c r="D1218" t="s">
        <v>1140</v>
      </c>
      <c r="E1218" t="str">
        <f t="shared" si="772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5.1440851900855691E-2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9.87755265918554E-2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6.9316174843742626E-2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7.8826365254966141E-2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2.5687187961718112E-2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1.3973295720363188E-2</v>
      </c>
    </row>
    <row r="1219" spans="2:11" x14ac:dyDescent="0.25">
      <c r="B1219" s="5" t="str">
        <f t="shared" si="770"/>
        <v>SPS3</v>
      </c>
      <c r="C1219" s="5" t="str">
        <f t="shared" si="773"/>
        <v>CH</v>
      </c>
      <c r="D1219" t="s">
        <v>1141</v>
      </c>
      <c r="E1219" t="str">
        <f t="shared" si="772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4.9315211357234254E-2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0.15527902078271594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0.82290047028449276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1.7642688025518427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4.9232811054799468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8.1778159879036139</v>
      </c>
    </row>
    <row r="1220" spans="2:11" x14ac:dyDescent="0.25">
      <c r="B1220" s="5" t="str">
        <f t="shared" si="770"/>
        <v>SPS3</v>
      </c>
      <c r="C1220" s="5" t="str">
        <f t="shared" si="773"/>
        <v>CH</v>
      </c>
      <c r="D1220" t="s">
        <v>1142</v>
      </c>
      <c r="E1220" t="str">
        <f t="shared" si="772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8.8183625740057892E-2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0.15895799897193927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0.15571422491470097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0.12748980244950411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1.2741079585970923E-2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5.9638790763662563E-3</v>
      </c>
    </row>
    <row r="1221" spans="2:11" x14ac:dyDescent="0.25">
      <c r="B1221" s="5" t="str">
        <f t="shared" si="770"/>
        <v>SPS3</v>
      </c>
      <c r="C1221" s="5" t="str">
        <f t="shared" si="773"/>
        <v>CH</v>
      </c>
      <c r="D1221" t="s">
        <v>1143</v>
      </c>
      <c r="E1221" t="str">
        <f t="shared" si="772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1.2748809472488837E-5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1.1895281596904065E-3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1.1949484436862214E-3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1.284747141761672E-3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1.3248883735566756E-3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8.9809139569279153E-4</v>
      </c>
    </row>
    <row r="1222" spans="2:11" x14ac:dyDescent="0.25">
      <c r="B1222" s="5" t="str">
        <f t="shared" si="770"/>
        <v>SPS3</v>
      </c>
      <c r="C1222" s="5" t="str">
        <f t="shared" si="773"/>
        <v>CH</v>
      </c>
      <c r="D1222" t="s">
        <v>1144</v>
      </c>
      <c r="E1222" t="str">
        <f t="shared" si="772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3.7617749473251052E-6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6.2037644836435276E-4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1.0438781457968096E-3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2.2098477708334461E-3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0.16149805543027876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8.5437999765774569E-2</v>
      </c>
    </row>
    <row r="1223" spans="2:11" x14ac:dyDescent="0.25">
      <c r="B1223" s="5" t="str">
        <f t="shared" si="770"/>
        <v>SPS3</v>
      </c>
      <c r="C1223" s="5" t="str">
        <f t="shared" si="773"/>
        <v>CH</v>
      </c>
      <c r="D1223" t="s">
        <v>1145</v>
      </c>
      <c r="E1223" t="str">
        <f t="shared" si="772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6.0004432463403863E-5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0.533735182111305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0.71561404699605091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3.1075613712519061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8.4405306677929843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6.6651184233512097</v>
      </c>
    </row>
    <row r="1224" spans="2:11" x14ac:dyDescent="0.25">
      <c r="B1224" s="5" t="str">
        <f t="shared" si="770"/>
        <v>SPS3</v>
      </c>
      <c r="C1224" s="5" t="str">
        <f t="shared" si="773"/>
        <v>CH</v>
      </c>
      <c r="D1224" t="s">
        <v>1146</v>
      </c>
      <c r="E1224" t="str">
        <f t="shared" si="772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2.9457611690857275E-3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1.1969211964488365E-2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1.4338770146751079E-2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1.4271800253802411E-2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1.3119907116843011E-2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6.039154278577763E-3</v>
      </c>
    </row>
    <row r="1225" spans="2:11" x14ac:dyDescent="0.25">
      <c r="B1225" s="5" t="str">
        <f t="shared" si="770"/>
        <v>SPS3</v>
      </c>
      <c r="C1225" s="5" t="str">
        <f t="shared" si="773"/>
        <v>CH</v>
      </c>
      <c r="D1225" t="s">
        <v>1147</v>
      </c>
      <c r="E1225" t="str">
        <f t="shared" si="772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1.2964325479406072E-4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3.306187399322462E-4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6.3422095613502631E-4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4.8249785377896891E-2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2.5410661492601173E-2</v>
      </c>
    </row>
    <row r="1226" spans="2:11" x14ac:dyDescent="0.25">
      <c r="B1226" s="5" t="str">
        <f t="shared" si="770"/>
        <v>SPS3</v>
      </c>
      <c r="C1226" s="5" t="str">
        <f t="shared" si="773"/>
        <v>CH</v>
      </c>
      <c r="D1226" t="s">
        <v>1148</v>
      </c>
      <c r="E1226" t="str">
        <f t="shared" si="772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7.9155394780272421E-5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1.8460457145918471E-4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3.548832892304824E-4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7.70455134141561E-4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8.9413971835672595E-4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5.1681561603034837E-4</v>
      </c>
    </row>
    <row r="1227" spans="2:11" x14ac:dyDescent="0.25">
      <c r="B1227" s="5" t="str">
        <f t="shared" si="770"/>
        <v>SPS3</v>
      </c>
      <c r="C1227" s="5" t="str">
        <f t="shared" si="773"/>
        <v>CH</v>
      </c>
      <c r="D1227" t="s">
        <v>1149</v>
      </c>
      <c r="E1227" t="str">
        <f t="shared" si="772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7.1477652783795084E-4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1.6606427866072292E-3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1.7508010070328799E-3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1.8230320239865808E-3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6.9965383972637476E-4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5.4245368091703275E-4</v>
      </c>
    </row>
    <row r="1228" spans="2:11" x14ac:dyDescent="0.25">
      <c r="B1228" s="5" t="str">
        <f t="shared" si="770"/>
        <v>SPS3</v>
      </c>
      <c r="C1228" s="5" t="str">
        <f t="shared" si="773"/>
        <v>CH</v>
      </c>
      <c r="D1228" t="s">
        <v>1150</v>
      </c>
      <c r="E1228" t="str">
        <f t="shared" si="772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1.2512853722365866E-4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4.2630380682377007E-4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1.0325343584208419E-3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2.2952722614101397E-3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1.4469245198036067</v>
      </c>
    </row>
    <row r="1229" spans="2:11" x14ac:dyDescent="0.25">
      <c r="B1229" s="5" t="str">
        <f t="shared" si="770"/>
        <v>SPS3</v>
      </c>
      <c r="C1229" s="5" t="str">
        <f t="shared" si="773"/>
        <v>CH</v>
      </c>
      <c r="D1229" t="s">
        <v>1234</v>
      </c>
      <c r="E1229" t="str">
        <f t="shared" si="772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0.61926158381074159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0.62769487703644489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0.48283444601963066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0.24142168621400592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770"/>
        <v>SPS3</v>
      </c>
      <c r="C1230" s="5" t="str">
        <f t="shared" si="773"/>
        <v>CH</v>
      </c>
      <c r="D1230" t="s">
        <v>1151</v>
      </c>
      <c r="E1230" t="str">
        <f t="shared" si="772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5.1731963834669444E-2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6.2031624688719408E-2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0.52174328930203606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1.1682775475975951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1.0035912963081477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0.19903155708366133</v>
      </c>
    </row>
    <row r="1231" spans="2:11" x14ac:dyDescent="0.25">
      <c r="B1231" s="5" t="str">
        <f t="shared" si="770"/>
        <v>SPS3</v>
      </c>
      <c r="C1231" s="5" t="str">
        <f t="shared" si="773"/>
        <v>CH</v>
      </c>
      <c r="D1231" t="s">
        <v>1152</v>
      </c>
      <c r="E1231" t="str">
        <f t="shared" si="772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0.22201592810511334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0.38675174226865827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2.4785340595672936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6.2795662114599411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1.8473207825624742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0.20766230944212663</v>
      </c>
    </row>
    <row r="1232" spans="2:11" x14ac:dyDescent="0.25">
      <c r="B1232" s="5" t="str">
        <f t="shared" si="770"/>
        <v>SPS3</v>
      </c>
      <c r="C1232" s="5" t="str">
        <f t="shared" si="773"/>
        <v>CH</v>
      </c>
      <c r="D1232" t="s">
        <v>1153</v>
      </c>
      <c r="E1232" t="str">
        <f t="shared" si="772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0.20241519244598899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2.127257403695368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2.8040746774772023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2.3189090986829273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6.8239414334180071E-2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3.4055845157104285E-4</v>
      </c>
    </row>
    <row r="1233" spans="2:11" x14ac:dyDescent="0.25">
      <c r="B1233" s="5" t="str">
        <f t="shared" si="770"/>
        <v>SPS3</v>
      </c>
      <c r="C1233" s="5" t="str">
        <f t="shared" si="773"/>
        <v>CH</v>
      </c>
      <c r="D1233" t="s">
        <v>1154</v>
      </c>
      <c r="E1233" t="str">
        <f t="shared" si="772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0.10371651920629943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0.17973085394952795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0.17527925697372107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0.14782362277745764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1.9867496692189748E-3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5.2622013837742181E-4</v>
      </c>
    </row>
    <row r="1234" spans="2:11" x14ac:dyDescent="0.25">
      <c r="B1234" s="5" t="str">
        <f t="shared" si="770"/>
        <v>SPS3</v>
      </c>
      <c r="C1234" s="5" t="str">
        <f t="shared" si="773"/>
        <v>CH</v>
      </c>
      <c r="D1234" t="s">
        <v>1155</v>
      </c>
      <c r="E1234" t="str">
        <f t="shared" si="772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18.302990828025933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17.204573871694194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15.728299239959258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3.5092491019438721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770"/>
        <v>SPS3</v>
      </c>
      <c r="C1235" s="5" t="str">
        <f t="shared" si="773"/>
        <v>CH</v>
      </c>
      <c r="D1235" t="s">
        <v>1156</v>
      </c>
      <c r="E1235" t="str">
        <f t="shared" si="772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0.33921331000104527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0.37234874462798206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0.26344772060617438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0.2041835746288766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1.791958043234954E-3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1.796966631498285E-4</v>
      </c>
    </row>
    <row r="1236" spans="2:11" x14ac:dyDescent="0.25">
      <c r="B1236" s="5" t="str">
        <f t="shared" si="770"/>
        <v>SPS3</v>
      </c>
      <c r="C1236" s="5" t="str">
        <f t="shared" si="773"/>
        <v>CH</v>
      </c>
      <c r="D1236" t="s">
        <v>1157</v>
      </c>
      <c r="E1236" t="str">
        <f t="shared" si="772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2.2922463723509376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3.2078348562620902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2.2774088042451597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2.5012259189656652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1.5028219195238641E-3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2.9795448406499036E-4</v>
      </c>
    </row>
    <row r="1237" spans="2:11" x14ac:dyDescent="0.25">
      <c r="B1237" s="5" t="str">
        <f t="shared" si="770"/>
        <v>SPS3</v>
      </c>
      <c r="C1237" s="5" t="str">
        <f t="shared" si="773"/>
        <v>CH</v>
      </c>
      <c r="D1237" t="s">
        <v>1158</v>
      </c>
      <c r="E1237" t="str">
        <f t="shared" si="772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1.9580237429231857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2.9621098810075934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2.9205685397377708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2.3731226614480847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2.014032112291779E-3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2.9482147485193697E-4</v>
      </c>
    </row>
    <row r="1238" spans="2:11" x14ac:dyDescent="0.25">
      <c r="B1238" s="5" t="str">
        <f t="shared" si="770"/>
        <v>SPS3</v>
      </c>
      <c r="C1238" s="5" t="str">
        <f t="shared" si="773"/>
        <v>CH</v>
      </c>
      <c r="D1238" t="s">
        <v>1159</v>
      </c>
      <c r="E1238" t="str">
        <f t="shared" si="772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1.7210690625389342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2.2766234246236574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3.4281070032410508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8.3901592273799803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7.3809457355203723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1.5550384310378682</v>
      </c>
    </row>
    <row r="1239" spans="2:11" x14ac:dyDescent="0.25">
      <c r="B1239" s="5" t="str">
        <f t="shared" si="770"/>
        <v>SPS3</v>
      </c>
      <c r="C1239" s="5" t="str">
        <f t="shared" si="773"/>
        <v>CH</v>
      </c>
      <c r="D1239" t="s">
        <v>1160</v>
      </c>
      <c r="E1239" t="str">
        <f t="shared" si="772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1.838184118881509E-4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9.7007794716447951E-4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2.1054200117643558E-3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1.1623849304510851E-3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2.423031718721213E-4</v>
      </c>
    </row>
    <row r="1240" spans="2:11" x14ac:dyDescent="0.25">
      <c r="B1240" s="5" t="str">
        <f t="shared" si="770"/>
        <v>SPS3</v>
      </c>
      <c r="C1240" s="5" t="str">
        <f t="shared" si="773"/>
        <v>CH</v>
      </c>
      <c r="D1240" t="s">
        <v>1161</v>
      </c>
      <c r="E1240" t="str">
        <f t="shared" si="772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1.2029818514321173E-4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4.4534395033875778E-4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1.2206028923237729E-3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1.145497240754825E-3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3.3109056996214657E-4</v>
      </c>
    </row>
    <row r="1241" spans="2:11" x14ac:dyDescent="0.25">
      <c r="B1241" s="5" t="str">
        <f t="shared" si="770"/>
        <v>SPS3</v>
      </c>
      <c r="C1241" s="5" t="str">
        <f t="shared" si="773"/>
        <v>CH</v>
      </c>
      <c r="D1241" t="s">
        <v>1162</v>
      </c>
      <c r="E1241" t="str">
        <f t="shared" si="772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1.4361856934578222E-4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6.7322826876827814E-4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1.3712453529114484E-3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1.2326849630328086E-3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3.2092180900194795E-4</v>
      </c>
    </row>
    <row r="1242" spans="2:11" x14ac:dyDescent="0.25">
      <c r="B1242" s="5" t="str">
        <f t="shared" si="770"/>
        <v>SPS3</v>
      </c>
      <c r="C1242" s="5" t="str">
        <f t="shared" si="773"/>
        <v>CH</v>
      </c>
      <c r="D1242" t="s">
        <v>1163</v>
      </c>
      <c r="E1242" t="str">
        <f t="shared" si="772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1.6009602273386227E-4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1.138120293217559E-3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3.6354456904096593E-3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4.570751244675794E-3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1.5430369329191489E-3</v>
      </c>
    </row>
    <row r="1243" spans="2:11" x14ac:dyDescent="0.25">
      <c r="B1243" s="5" t="str">
        <f t="shared" si="770"/>
        <v>SPS3</v>
      </c>
      <c r="C1243" s="5" t="str">
        <f t="shared" si="773"/>
        <v>CH</v>
      </c>
      <c r="D1243" t="s">
        <v>1236</v>
      </c>
      <c r="E1243" t="str">
        <f t="shared" si="772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770"/>
        <v>SPS3</v>
      </c>
      <c r="C1244" s="5" t="str">
        <f t="shared" si="773"/>
        <v>CH</v>
      </c>
      <c r="D1244" t="s">
        <v>1164</v>
      </c>
      <c r="E1244" t="str">
        <f t="shared" si="772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1.3395188954608602E-5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0.3010512855457379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0.20356583275401816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0.47178002005612774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0.41086924563168142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8.489094257018559E-2</v>
      </c>
    </row>
    <row r="1245" spans="2:11" x14ac:dyDescent="0.25">
      <c r="B1245" s="5" t="str">
        <f t="shared" si="770"/>
        <v>SPS3</v>
      </c>
      <c r="C1245" s="5" t="str">
        <f t="shared" si="773"/>
        <v>CH</v>
      </c>
      <c r="D1245" t="s">
        <v>1165</v>
      </c>
      <c r="E1245" t="str">
        <f t="shared" si="772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3.204176382706125E-3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1.7805133555137083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2.9199613564434408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5.5991097171077699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1.6240194994005224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0.24871837223411844</v>
      </c>
    </row>
    <row r="1246" spans="2:11" x14ac:dyDescent="0.25">
      <c r="B1246" s="5" t="str">
        <f t="shared" si="770"/>
        <v>SPS3</v>
      </c>
      <c r="C1246" s="5" t="str">
        <f t="shared" si="773"/>
        <v>CH</v>
      </c>
      <c r="D1246" t="s">
        <v>1166</v>
      </c>
      <c r="E1246" t="str">
        <f t="shared" si="772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2.5944462189449215E-2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0.2994650517036197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0.28568702589319422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0.22981308953828777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1.4175153641067019E-3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3.3592971502016553E-4</v>
      </c>
    </row>
    <row r="1247" spans="2:11" x14ac:dyDescent="0.25">
      <c r="B1247" s="5" t="str">
        <f t="shared" si="770"/>
        <v>SPS3</v>
      </c>
      <c r="C1247" s="5" t="str">
        <f t="shared" si="773"/>
        <v>CH</v>
      </c>
      <c r="D1247" t="s">
        <v>1167</v>
      </c>
      <c r="E1247" t="str">
        <f t="shared" si="772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4.7221724014681533E-2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0.79599095584263735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0.76416797483159804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0.61904151607312607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2.7108915706784828E-3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5.1684922799022696E-4</v>
      </c>
    </row>
    <row r="1248" spans="2:11" x14ac:dyDescent="0.25">
      <c r="B1248" s="5" t="str">
        <f t="shared" si="770"/>
        <v>SPS3</v>
      </c>
      <c r="C1248" s="5" t="str">
        <f t="shared" si="773"/>
        <v>CH</v>
      </c>
      <c r="D1248" t="s">
        <v>1168</v>
      </c>
      <c r="E1248" t="str">
        <f t="shared" si="772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17.673726235323432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17.235952047335875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13.070517651524073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6.6291706275969275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770"/>
        <v>SPS3</v>
      </c>
      <c r="C1249" s="5" t="str">
        <f t="shared" si="773"/>
        <v>CH</v>
      </c>
      <c r="D1249" t="s">
        <v>1169</v>
      </c>
      <c r="E1249" t="str">
        <f t="shared" si="772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3.8107951685397842E-3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4.7698289356942125E-3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3.8661291012552341E-3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3.3187380635632409E-3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5.528129072029437E-4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9.454393843699133E-5</v>
      </c>
    </row>
    <row r="1250" spans="2:11" x14ac:dyDescent="0.25">
      <c r="B1250" s="5" t="str">
        <f t="shared" si="770"/>
        <v>SPS3</v>
      </c>
      <c r="C1250" s="5" t="str">
        <f t="shared" si="773"/>
        <v>CH</v>
      </c>
      <c r="D1250" t="s">
        <v>1170</v>
      </c>
      <c r="E1250" t="str">
        <f t="shared" si="772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0.84180720485952543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0.90313613923616065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0.64472650933648123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0.67928212252942721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6.2312809860398243E-4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1.1823251743420027E-4</v>
      </c>
    </row>
    <row r="1251" spans="2:11" x14ac:dyDescent="0.25">
      <c r="B1251" s="5" t="str">
        <f t="shared" si="770"/>
        <v>SPS3</v>
      </c>
      <c r="C1251" s="5" t="str">
        <f t="shared" si="773"/>
        <v>CH</v>
      </c>
      <c r="D1251" t="s">
        <v>1171</v>
      </c>
      <c r="E1251" t="str">
        <f t="shared" si="772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2.6521142157244091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2.836154267494404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2.8066420823727625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2.1813435718474841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6.4055124319065528E-4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1.1342313032584464E-4</v>
      </c>
    </row>
    <row r="1252" spans="2:11" x14ac:dyDescent="0.25">
      <c r="B1252" s="5" t="str">
        <f t="shared" si="770"/>
        <v>SPS3</v>
      </c>
      <c r="C1252" s="5" t="str">
        <f t="shared" si="773"/>
        <v>CH</v>
      </c>
      <c r="D1252" t="s">
        <v>1172</v>
      </c>
      <c r="E1252" t="str">
        <f t="shared" si="772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0.90027983405199608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1.00753314507586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0.99280839516048602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0.7756139242254263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3.6694173130775027E-4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7.0024476639115498E-5</v>
      </c>
    </row>
    <row r="1253" spans="2:11" x14ac:dyDescent="0.25">
      <c r="B1253" s="5" t="str">
        <f t="shared" si="770"/>
        <v>SPS3</v>
      </c>
      <c r="C1253" s="5" t="str">
        <f t="shared" si="773"/>
        <v>CH</v>
      </c>
      <c r="D1253" t="s">
        <v>1173</v>
      </c>
      <c r="E1253" t="str">
        <f t="shared" si="772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2.216632358878937E-4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6.867395649913713E-4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2.1145763898354178E-3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1.6766357184630144E-3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4.7044653437104374E-4</v>
      </c>
    </row>
    <row r="1254" spans="2:11" x14ac:dyDescent="0.25">
      <c r="B1254" s="5" t="str">
        <f t="shared" si="770"/>
        <v>SPS3</v>
      </c>
      <c r="C1254" s="5" t="str">
        <f t="shared" si="773"/>
        <v>CH</v>
      </c>
      <c r="D1254" t="s">
        <v>1174</v>
      </c>
      <c r="E1254" t="str">
        <f t="shared" si="772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1.3849291832232198E-4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4.5064608182441451E-4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1.4775472839032532E-3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1.6077719046805521E-3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5.0716666410430635E-4</v>
      </c>
    </row>
    <row r="1255" spans="2:11" x14ac:dyDescent="0.25">
      <c r="B1255" s="5" t="str">
        <f t="shared" si="770"/>
        <v>SPS3</v>
      </c>
      <c r="C1255" s="5" t="str">
        <f t="shared" si="773"/>
        <v>CH</v>
      </c>
      <c r="D1255" t="s">
        <v>1175</v>
      </c>
      <c r="E1255" t="str">
        <f t="shared" si="772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1.6803015172999806E-4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6.9306200323656741E-4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1.4874382909411731E-3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1.5652275012487688E-3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4.6477393427118643E-4</v>
      </c>
    </row>
    <row r="1256" spans="2:11" x14ac:dyDescent="0.25">
      <c r="B1256" s="5" t="str">
        <f t="shared" si="770"/>
        <v>SPS3</v>
      </c>
      <c r="C1256" s="5" t="str">
        <f t="shared" si="773"/>
        <v>CH</v>
      </c>
      <c r="D1256" t="s">
        <v>1176</v>
      </c>
      <c r="E1256" t="str">
        <f t="shared" si="772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1.2288056804290375E-4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4.2491617784855604E-4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7.3842584398227439E-4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8.1399921554286994E-4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2.5973216270204258E-4</v>
      </c>
    </row>
    <row r="1257" spans="2:11" x14ac:dyDescent="0.25">
      <c r="B1257" s="5" t="str">
        <f t="shared" si="770"/>
        <v>SPS3</v>
      </c>
      <c r="C1257" s="5" t="str">
        <f t="shared" si="773"/>
        <v>CH</v>
      </c>
      <c r="D1257" t="s">
        <v>1177</v>
      </c>
      <c r="E1257" t="str">
        <f t="shared" si="772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770"/>
        <v>SPS3</v>
      </c>
      <c r="C1258" s="5" t="str">
        <f t="shared" si="773"/>
        <v>CH</v>
      </c>
      <c r="D1258" t="s">
        <v>1178</v>
      </c>
      <c r="E1258" t="str">
        <f t="shared" si="772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2.1911164648613151E-3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2.4180092592457811E-3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1.8332258953273307E-3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1.1233693059669258E-4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3.891856620679723E-5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1.0256179199985656E-5</v>
      </c>
    </row>
    <row r="1259" spans="2:11" x14ac:dyDescent="0.25">
      <c r="B1259" s="5" t="str">
        <f t="shared" si="770"/>
        <v>SPS3</v>
      </c>
      <c r="C1259" s="5" t="str">
        <f t="shared" si="773"/>
        <v>CH</v>
      </c>
      <c r="D1259" t="s">
        <v>1179</v>
      </c>
      <c r="E1259" t="str">
        <f t="shared" si="772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3.1500514178008678E-2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3.1576975121382328E-2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2.2885398823920974E-2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9.2892245909994507E-5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7.4002263367883424E-5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1.9316869483567128E-5</v>
      </c>
    </row>
    <row r="1260" spans="2:11" x14ac:dyDescent="0.25">
      <c r="B1260" s="5" t="str">
        <f t="shared" si="770"/>
        <v>SPS3</v>
      </c>
      <c r="C1260" s="5" t="str">
        <f t="shared" si="773"/>
        <v>CH</v>
      </c>
      <c r="D1260" t="s">
        <v>1180</v>
      </c>
      <c r="E1260" t="str">
        <f t="shared" si="772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1.9998919937775994E-3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2.3102556117979424E-3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2.2936392618681904E-3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2.6994442701850979E-4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1.0380719157627953E-4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2.7310340575640472E-5</v>
      </c>
    </row>
    <row r="1261" spans="2:11" x14ac:dyDescent="0.25">
      <c r="B1261" s="5" t="str">
        <f t="shared" si="770"/>
        <v>SPS3</v>
      </c>
      <c r="C1261" s="5" t="str">
        <f t="shared" si="773"/>
        <v>CH</v>
      </c>
      <c r="D1261" t="s">
        <v>1181</v>
      </c>
      <c r="E1261" t="str">
        <f t="shared" si="772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3.288623548390042E-2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3.220018270213923E-2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2.9961907784067758E-2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5.6769353248698899E-5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9.4315228105902637E-5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2.4627628677406425E-5</v>
      </c>
    </row>
    <row r="1262" spans="2:11" x14ac:dyDescent="0.25">
      <c r="B1262" s="5" t="str">
        <f t="shared" si="770"/>
        <v>SPS3</v>
      </c>
      <c r="C1262" s="5" t="str">
        <f t="shared" si="773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 t="shared" si="770"/>
        <v>SPS3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774">IFERROR(F1212/F1136,"-")</f>
        <v>0.88951199431361405</v>
      </c>
      <c r="G1263" s="1">
        <f t="shared" si="774"/>
        <v>0.95694536964701926</v>
      </c>
      <c r="H1263" s="1">
        <f t="shared" si="774"/>
        <v>1.0580954326471266</v>
      </c>
      <c r="I1263" s="1">
        <f t="shared" si="774"/>
        <v>1.2266788709806384</v>
      </c>
      <c r="J1263" s="1" t="str">
        <f t="shared" si="774"/>
        <v>-</v>
      </c>
      <c r="K1263" s="1" t="str">
        <f t="shared" si="774"/>
        <v>-</v>
      </c>
    </row>
    <row r="1264" spans="2:11" x14ac:dyDescent="0.25">
      <c r="B1264" s="5" t="str">
        <f t="shared" si="770"/>
        <v>SPS3</v>
      </c>
      <c r="C1264" s="5" t="str">
        <f t="shared" ref="C1264:C1312" si="775">C1263</f>
        <v>CH</v>
      </c>
      <c r="D1264" t="s">
        <v>1183</v>
      </c>
      <c r="E1264" t="str">
        <f t="shared" ref="E1264:E1312" si="776">E1263</f>
        <v>km/MJ</v>
      </c>
      <c r="F1264" s="1">
        <f t="shared" si="774"/>
        <v>1.8116719735064504</v>
      </c>
      <c r="G1264" s="1">
        <f t="shared" si="774"/>
        <v>1.811671973506451</v>
      </c>
      <c r="H1264" s="1">
        <f t="shared" si="774"/>
        <v>1.8116719735064504</v>
      </c>
      <c r="I1264" s="1">
        <f t="shared" si="774"/>
        <v>1.8116719735064475</v>
      </c>
      <c r="J1264" s="1">
        <f t="shared" si="774"/>
        <v>1.9931599037676604</v>
      </c>
      <c r="K1264" s="1">
        <f t="shared" si="774"/>
        <v>2.1519578829410104</v>
      </c>
    </row>
    <row r="1265" spans="2:11" x14ac:dyDescent="0.25">
      <c r="B1265" s="5" t="str">
        <f t="shared" si="770"/>
        <v>SPS3</v>
      </c>
      <c r="C1265" s="5" t="str">
        <f t="shared" si="775"/>
        <v>CH</v>
      </c>
      <c r="D1265" t="s">
        <v>1184</v>
      </c>
      <c r="E1265" t="str">
        <f t="shared" si="776"/>
        <v>km/MJ</v>
      </c>
      <c r="F1265" s="1">
        <f t="shared" si="774"/>
        <v>1.4637982671179686</v>
      </c>
      <c r="G1265" s="1">
        <f t="shared" si="774"/>
        <v>1.4637982671179697</v>
      </c>
      <c r="H1265" s="1">
        <f t="shared" si="774"/>
        <v>1.4637982671179721</v>
      </c>
      <c r="I1265" s="1">
        <f t="shared" si="774"/>
        <v>1.4637982671179661</v>
      </c>
      <c r="J1265" s="1">
        <f t="shared" si="774"/>
        <v>1.5841830886019221</v>
      </c>
      <c r="K1265" s="1">
        <f t="shared" si="774"/>
        <v>1.7194992261426507</v>
      </c>
    </row>
    <row r="1266" spans="2:11" x14ac:dyDescent="0.25">
      <c r="B1266" s="5" t="str">
        <f t="shared" si="770"/>
        <v>SPS3</v>
      </c>
      <c r="C1266" s="5" t="str">
        <f t="shared" si="775"/>
        <v>CH</v>
      </c>
      <c r="D1266" t="s">
        <v>1185</v>
      </c>
      <c r="E1266" t="str">
        <f t="shared" si="776"/>
        <v>km/MJ</v>
      </c>
      <c r="F1266" s="1">
        <f t="shared" si="774"/>
        <v>1.3374527251492001</v>
      </c>
      <c r="G1266" s="1">
        <f t="shared" si="774"/>
        <v>1.3374527251492019</v>
      </c>
      <c r="H1266" s="1">
        <f t="shared" si="774"/>
        <v>1.3374527251491946</v>
      </c>
      <c r="I1266" s="1">
        <f t="shared" si="774"/>
        <v>1.337452725149199</v>
      </c>
      <c r="J1266" s="1">
        <f t="shared" si="774"/>
        <v>1.3836247717965229</v>
      </c>
      <c r="K1266" s="1">
        <f t="shared" si="774"/>
        <v>1.5287729774530667</v>
      </c>
    </row>
    <row r="1267" spans="2:11" x14ac:dyDescent="0.25">
      <c r="B1267" s="5" t="str">
        <f t="shared" si="770"/>
        <v>SPS3</v>
      </c>
      <c r="C1267" s="5" t="str">
        <f t="shared" si="775"/>
        <v>CH</v>
      </c>
      <c r="D1267" t="s">
        <v>1186</v>
      </c>
      <c r="E1267" t="str">
        <f t="shared" si="776"/>
        <v>km/MJ</v>
      </c>
      <c r="F1267" s="1">
        <f t="shared" si="774"/>
        <v>1.2949729235430791</v>
      </c>
      <c r="G1267" s="1">
        <f t="shared" si="774"/>
        <v>1.2949729235430809</v>
      </c>
      <c r="H1267" s="1">
        <f t="shared" si="774"/>
        <v>1.2949729235430811</v>
      </c>
      <c r="I1267" s="1">
        <f t="shared" si="774"/>
        <v>1.2949729235430802</v>
      </c>
      <c r="J1267" s="1">
        <f t="shared" si="774"/>
        <v>1.3796743549920947</v>
      </c>
      <c r="K1267" s="1">
        <f t="shared" si="774"/>
        <v>1.533689573230862</v>
      </c>
    </row>
    <row r="1268" spans="2:11" x14ac:dyDescent="0.25">
      <c r="B1268" s="5" t="str">
        <f t="shared" ref="B1268:B1331" si="777">B1267</f>
        <v>SPS3</v>
      </c>
      <c r="C1268" s="5" t="str">
        <f t="shared" si="775"/>
        <v>CH</v>
      </c>
      <c r="D1268" t="s">
        <v>1187</v>
      </c>
      <c r="E1268" t="str">
        <f t="shared" si="776"/>
        <v>km/MJ</v>
      </c>
      <c r="F1268" s="1">
        <f t="shared" ref="F1268:K1271" si="778">IFERROR(F1217/SUM(F1141,F1174),"-")</f>
        <v>0.71132768019032444</v>
      </c>
      <c r="G1268" s="1">
        <f t="shared" si="778"/>
        <v>0.76020378386336218</v>
      </c>
      <c r="H1268" s="1">
        <f t="shared" si="778"/>
        <v>0.77188994770633468</v>
      </c>
      <c r="I1268" s="1">
        <f t="shared" si="778"/>
        <v>0.81153707645201878</v>
      </c>
      <c r="J1268" s="1">
        <f t="shared" si="778"/>
        <v>0.95459616222648813</v>
      </c>
      <c r="K1268" s="1">
        <f t="shared" si="778"/>
        <v>1.2008560996016195</v>
      </c>
    </row>
    <row r="1269" spans="2:11" x14ac:dyDescent="0.25">
      <c r="B1269" s="5" t="str">
        <f t="shared" si="777"/>
        <v>SPS3</v>
      </c>
      <c r="C1269" s="5" t="str">
        <f t="shared" si="775"/>
        <v>CH</v>
      </c>
      <c r="D1269" t="s">
        <v>1188</v>
      </c>
      <c r="E1269" t="str">
        <f t="shared" si="776"/>
        <v>km/MJ</v>
      </c>
      <c r="F1269" s="1">
        <f t="shared" si="778"/>
        <v>0.59728859579118554</v>
      </c>
      <c r="G1269" s="1">
        <f t="shared" si="778"/>
        <v>0.59673735712152087</v>
      </c>
      <c r="H1269" s="1">
        <f t="shared" si="778"/>
        <v>0.6079173113786609</v>
      </c>
      <c r="I1269" s="1">
        <f t="shared" si="778"/>
        <v>0.68364114597126846</v>
      </c>
      <c r="J1269" s="1">
        <f t="shared" si="778"/>
        <v>0.73406906260898908</v>
      </c>
      <c r="K1269" s="1">
        <f t="shared" si="778"/>
        <v>1.1084872263691503</v>
      </c>
    </row>
    <row r="1270" spans="2:11" x14ac:dyDescent="0.25">
      <c r="B1270" s="5" t="str">
        <f t="shared" si="777"/>
        <v>SPS3</v>
      </c>
      <c r="C1270" s="5" t="str">
        <f t="shared" si="775"/>
        <v>CH</v>
      </c>
      <c r="D1270" t="s">
        <v>1189</v>
      </c>
      <c r="E1270" t="str">
        <f t="shared" si="776"/>
        <v>km/MJ</v>
      </c>
      <c r="F1270" s="1">
        <f t="shared" si="778"/>
        <v>0.5455356514785884</v>
      </c>
      <c r="G1270" s="1">
        <f t="shared" si="778"/>
        <v>0.6040549345572912</v>
      </c>
      <c r="H1270" s="1">
        <f t="shared" si="778"/>
        <v>0.61793415400956742</v>
      </c>
      <c r="I1270" s="1">
        <f t="shared" si="778"/>
        <v>0.66532022134270208</v>
      </c>
      <c r="J1270" s="1">
        <f t="shared" si="778"/>
        <v>0.85911886089203005</v>
      </c>
      <c r="K1270" s="1">
        <f t="shared" si="778"/>
        <v>1.13117703235287</v>
      </c>
    </row>
    <row r="1271" spans="2:11" x14ac:dyDescent="0.25">
      <c r="B1271" s="5" t="str">
        <f t="shared" si="777"/>
        <v>SPS3</v>
      </c>
      <c r="C1271" s="5" t="str">
        <f t="shared" si="775"/>
        <v>CH</v>
      </c>
      <c r="D1271" t="s">
        <v>1190</v>
      </c>
      <c r="E1271" t="str">
        <f t="shared" si="776"/>
        <v>km/MJ</v>
      </c>
      <c r="F1271" s="1">
        <f t="shared" si="778"/>
        <v>0.51975568473665923</v>
      </c>
      <c r="G1271" s="1">
        <f t="shared" si="778"/>
        <v>0.52329124663133819</v>
      </c>
      <c r="H1271" s="1">
        <f t="shared" si="778"/>
        <v>0.52934352563469711</v>
      </c>
      <c r="I1271" s="1">
        <f t="shared" si="778"/>
        <v>0.62534392975852127</v>
      </c>
      <c r="J1271" s="1">
        <f t="shared" si="778"/>
        <v>0.778167096103074</v>
      </c>
      <c r="K1271" s="1">
        <f t="shared" si="778"/>
        <v>1.0120819207471523</v>
      </c>
    </row>
    <row r="1272" spans="2:11" x14ac:dyDescent="0.25">
      <c r="B1272" s="5" t="str">
        <f t="shared" si="777"/>
        <v>SPS3</v>
      </c>
      <c r="C1272" s="5" t="str">
        <f t="shared" si="775"/>
        <v>CH</v>
      </c>
      <c r="D1272" t="s">
        <v>1191</v>
      </c>
      <c r="E1272" t="str">
        <f t="shared" si="776"/>
        <v>km/MJ</v>
      </c>
      <c r="F1272" s="1">
        <f t="shared" ref="F1272:K1275" si="779">IFERROR(F1221/SUM(F1145,F1197),"-")</f>
        <v>0.72840569582556858</v>
      </c>
      <c r="G1272" s="1">
        <f t="shared" si="779"/>
        <v>0.77359402938564215</v>
      </c>
      <c r="H1272" s="1">
        <f t="shared" si="779"/>
        <v>0.78525867533782778</v>
      </c>
      <c r="I1272" s="1">
        <f t="shared" si="779"/>
        <v>0.82542539781231716</v>
      </c>
      <c r="J1272" s="1">
        <f t="shared" si="779"/>
        <v>0.96919336479236329</v>
      </c>
      <c r="K1272" s="1">
        <f t="shared" si="779"/>
        <v>1.211048179871919</v>
      </c>
    </row>
    <row r="1273" spans="2:11" x14ac:dyDescent="0.25">
      <c r="B1273" s="5" t="str">
        <f t="shared" si="777"/>
        <v>SPS3</v>
      </c>
      <c r="C1273" s="5" t="str">
        <f t="shared" si="775"/>
        <v>CH</v>
      </c>
      <c r="D1273" t="s">
        <v>1192</v>
      </c>
      <c r="E1273" t="str">
        <f t="shared" si="776"/>
        <v>km/MJ</v>
      </c>
      <c r="F1273" s="1">
        <f t="shared" si="779"/>
        <v>0.28303101625509541</v>
      </c>
      <c r="G1273" s="1">
        <f t="shared" si="779"/>
        <v>0.6376940133949055</v>
      </c>
      <c r="H1273" s="1">
        <f t="shared" si="779"/>
        <v>0.65043797332896125</v>
      </c>
      <c r="I1273" s="1">
        <f t="shared" si="779"/>
        <v>0.69243055485166483</v>
      </c>
      <c r="J1273" s="1">
        <f t="shared" si="779"/>
        <v>0.71610227427754625</v>
      </c>
      <c r="K1273" s="1">
        <f t="shared" si="779"/>
        <v>1.127309927027937</v>
      </c>
    </row>
    <row r="1274" spans="2:11" x14ac:dyDescent="0.25">
      <c r="B1274" s="5" t="str">
        <f t="shared" si="777"/>
        <v>SPS3</v>
      </c>
      <c r="C1274" s="5" t="str">
        <f t="shared" si="775"/>
        <v>CH</v>
      </c>
      <c r="D1274" t="s">
        <v>1193</v>
      </c>
      <c r="E1274" t="str">
        <f t="shared" si="776"/>
        <v>km/MJ</v>
      </c>
      <c r="F1274" s="1">
        <f t="shared" si="779"/>
        <v>0.55064136852230228</v>
      </c>
      <c r="G1274" s="1">
        <f t="shared" si="779"/>
        <v>0.61233012845508772</v>
      </c>
      <c r="H1274" s="1">
        <f t="shared" si="779"/>
        <v>0.62626283582100994</v>
      </c>
      <c r="I1274" s="1">
        <f t="shared" si="779"/>
        <v>0.67374031313175931</v>
      </c>
      <c r="J1274" s="1">
        <f t="shared" si="779"/>
        <v>0.81596494702421152</v>
      </c>
      <c r="K1274" s="1">
        <f t="shared" si="779"/>
        <v>1.1391688310867216</v>
      </c>
    </row>
    <row r="1275" spans="2:11" x14ac:dyDescent="0.25">
      <c r="B1275" s="5" t="str">
        <f t="shared" si="777"/>
        <v>SPS3</v>
      </c>
      <c r="C1275" s="5" t="str">
        <f t="shared" si="775"/>
        <v>CH</v>
      </c>
      <c r="D1275" t="s">
        <v>1194</v>
      </c>
      <c r="E1275" t="str">
        <f t="shared" si="776"/>
        <v>km/MJ</v>
      </c>
      <c r="F1275" s="1">
        <f t="shared" si="779"/>
        <v>0.52692118311686453</v>
      </c>
      <c r="G1275" s="1">
        <f t="shared" si="779"/>
        <v>0.53571740879510743</v>
      </c>
      <c r="H1275" s="1">
        <f t="shared" si="779"/>
        <v>0.55100838872526026</v>
      </c>
      <c r="I1275" s="1">
        <f t="shared" si="779"/>
        <v>0.63290674766597632</v>
      </c>
      <c r="J1275" s="1">
        <f t="shared" si="779"/>
        <v>0.77374342280362918</v>
      </c>
      <c r="K1275" s="1">
        <f t="shared" si="779"/>
        <v>1.0182983938081895</v>
      </c>
    </row>
    <row r="1276" spans="2:11" x14ac:dyDescent="0.25">
      <c r="B1276" s="5" t="str">
        <f t="shared" si="777"/>
        <v>SPS3</v>
      </c>
      <c r="C1276" s="5" t="str">
        <f t="shared" si="775"/>
        <v>CH</v>
      </c>
      <c r="D1276" t="s">
        <v>1195</v>
      </c>
      <c r="E1276" t="str">
        <f t="shared" si="776"/>
        <v>km/MJ</v>
      </c>
      <c r="F1276" s="1" t="str">
        <f>IFERROR(F1225/F1151,"-")</f>
        <v>-</v>
      </c>
      <c r="G1276" s="1">
        <f t="shared" ref="G1276:K1276" si="780">IFERROR(G1225/G1151,"-")</f>
        <v>1.0965696656165205</v>
      </c>
      <c r="H1276" s="1">
        <f t="shared" si="780"/>
        <v>1.09656966561652</v>
      </c>
      <c r="I1276" s="1">
        <f t="shared" si="780"/>
        <v>1.0965696656165205</v>
      </c>
      <c r="J1276" s="1">
        <f t="shared" si="780"/>
        <v>1.2352705945750084</v>
      </c>
      <c r="K1276" s="1">
        <f t="shared" si="780"/>
        <v>1.2368684420729466</v>
      </c>
    </row>
    <row r="1277" spans="2:11" x14ac:dyDescent="0.25">
      <c r="B1277" s="5" t="str">
        <f t="shared" si="777"/>
        <v>SPS3</v>
      </c>
      <c r="C1277" s="5" t="str">
        <f t="shared" si="775"/>
        <v>CH</v>
      </c>
      <c r="D1277" t="s">
        <v>1196</v>
      </c>
      <c r="E1277" t="str">
        <f t="shared" si="776"/>
        <v>km/MJ</v>
      </c>
      <c r="F1277" s="1">
        <f t="shared" ref="F1277:K1277" si="781">IFERROR(F1226/F1152,"-")</f>
        <v>0.89149519806162003</v>
      </c>
      <c r="G1277" s="1">
        <f t="shared" si="781"/>
        <v>0.89149519806162181</v>
      </c>
      <c r="H1277" s="1">
        <f t="shared" si="781"/>
        <v>0.89149519806162214</v>
      </c>
      <c r="I1277" s="1">
        <f t="shared" si="781"/>
        <v>0.89149519806162003</v>
      </c>
      <c r="J1277" s="1">
        <f t="shared" si="781"/>
        <v>0.96515031220186365</v>
      </c>
      <c r="K1277" s="1">
        <f t="shared" si="781"/>
        <v>1.0482475959480295</v>
      </c>
    </row>
    <row r="1278" spans="2:11" x14ac:dyDescent="0.25">
      <c r="B1278" s="5" t="str">
        <f t="shared" si="777"/>
        <v>SPS3</v>
      </c>
      <c r="C1278" s="5" t="str">
        <f t="shared" si="775"/>
        <v>CH</v>
      </c>
      <c r="D1278" t="s">
        <v>1197</v>
      </c>
      <c r="E1278" t="str">
        <f t="shared" si="776"/>
        <v>km/MJ</v>
      </c>
      <c r="F1278" s="1">
        <f t="shared" ref="F1278:K1278" si="782">IFERROR(F1227/F1153,"-")</f>
        <v>0.83000507256490663</v>
      </c>
      <c r="G1278" s="1">
        <f t="shared" si="782"/>
        <v>0.83000507256490708</v>
      </c>
      <c r="H1278" s="1">
        <f t="shared" si="782"/>
        <v>0.83000507256490574</v>
      </c>
      <c r="I1278" s="1">
        <f t="shared" si="782"/>
        <v>0.83000507256490508</v>
      </c>
      <c r="J1278" s="1">
        <f t="shared" si="782"/>
        <v>0.8977768277488376</v>
      </c>
      <c r="K1278" s="1">
        <f t="shared" si="782"/>
        <v>0.99824247490557727</v>
      </c>
    </row>
    <row r="1279" spans="2:11" x14ac:dyDescent="0.25">
      <c r="B1279" s="5" t="str">
        <f t="shared" si="777"/>
        <v>SPS3</v>
      </c>
      <c r="C1279" s="5" t="str">
        <f t="shared" si="775"/>
        <v>CH</v>
      </c>
      <c r="D1279" t="s">
        <v>1198</v>
      </c>
      <c r="E1279" t="str">
        <f t="shared" si="776"/>
        <v>km/MJ</v>
      </c>
      <c r="F1279" s="1" t="str">
        <f t="shared" ref="F1279:K1279" si="783">IFERROR(F1228/F1154,"-")</f>
        <v>-</v>
      </c>
      <c r="G1279" s="1">
        <f t="shared" si="783"/>
        <v>0.83675282096654069</v>
      </c>
      <c r="H1279" s="1">
        <f t="shared" si="783"/>
        <v>0.83675282096654269</v>
      </c>
      <c r="I1279" s="1">
        <f t="shared" si="783"/>
        <v>0.83675282096654269</v>
      </c>
      <c r="J1279" s="1">
        <f t="shared" si="783"/>
        <v>0.91963277611832772</v>
      </c>
      <c r="K1279" s="1">
        <f t="shared" si="783"/>
        <v>1.0606344456753234</v>
      </c>
    </row>
    <row r="1280" spans="2:11" x14ac:dyDescent="0.25">
      <c r="B1280" s="5" t="str">
        <f t="shared" si="777"/>
        <v>SPS3</v>
      </c>
      <c r="C1280" s="5" t="str">
        <f t="shared" si="775"/>
        <v>CH</v>
      </c>
      <c r="D1280" t="s">
        <v>1233</v>
      </c>
      <c r="E1280" t="str">
        <f t="shared" si="776"/>
        <v>km/MJ</v>
      </c>
      <c r="F1280" s="1">
        <f t="shared" ref="F1280:K1293" si="784">IFERROR(F1229/F1160,"-")</f>
        <v>0.49379534694678351</v>
      </c>
      <c r="G1280" s="1">
        <f t="shared" si="784"/>
        <v>0.50503220860251341</v>
      </c>
      <c r="H1280" s="1">
        <f t="shared" si="784"/>
        <v>0.52188750108610993</v>
      </c>
      <c r="I1280" s="1">
        <f t="shared" si="784"/>
        <v>0.54997965522543613</v>
      </c>
      <c r="J1280" s="1" t="str">
        <f t="shared" si="784"/>
        <v>-</v>
      </c>
      <c r="K1280" s="1" t="str">
        <f t="shared" si="784"/>
        <v>-</v>
      </c>
    </row>
    <row r="1281" spans="2:11" x14ac:dyDescent="0.25">
      <c r="B1281" s="5" t="str">
        <f t="shared" si="777"/>
        <v>SPS3</v>
      </c>
      <c r="C1281" s="5" t="str">
        <f t="shared" si="775"/>
        <v>CH</v>
      </c>
      <c r="D1281" t="s">
        <v>1199</v>
      </c>
      <c r="E1281" t="str">
        <f t="shared" si="776"/>
        <v>km/MJ</v>
      </c>
      <c r="F1281" s="1">
        <f t="shared" si="784"/>
        <v>1.1338007677553605</v>
      </c>
      <c r="G1281" s="1">
        <f t="shared" si="784"/>
        <v>1.1590697405327473</v>
      </c>
      <c r="H1281" s="1">
        <f t="shared" si="784"/>
        <v>1.1671815204621243</v>
      </c>
      <c r="I1281" s="1">
        <f t="shared" si="784"/>
        <v>0.97470820192562502</v>
      </c>
      <c r="J1281" s="1">
        <f t="shared" si="784"/>
        <v>0.9193722579653727</v>
      </c>
      <c r="K1281" s="1">
        <f t="shared" si="784"/>
        <v>0.92520359935785113</v>
      </c>
    </row>
    <row r="1282" spans="2:11" x14ac:dyDescent="0.25">
      <c r="B1282" s="5" t="str">
        <f t="shared" si="777"/>
        <v>SPS3</v>
      </c>
      <c r="C1282" s="5" t="str">
        <f t="shared" si="775"/>
        <v>CH</v>
      </c>
      <c r="D1282" t="s">
        <v>1200</v>
      </c>
      <c r="E1282" t="str">
        <f t="shared" si="776"/>
        <v>km/MJ</v>
      </c>
      <c r="F1282" s="1">
        <f t="shared" si="784"/>
        <v>1.5967615357132556</v>
      </c>
      <c r="G1282" s="1">
        <f t="shared" si="784"/>
        <v>1.8933650315132591</v>
      </c>
      <c r="H1282" s="1">
        <f t="shared" si="784"/>
        <v>1.8612722914369333</v>
      </c>
      <c r="I1282" s="1">
        <f t="shared" si="784"/>
        <v>1.0297715181133249</v>
      </c>
      <c r="J1282" s="1">
        <f t="shared" si="784"/>
        <v>0.79466642252381359</v>
      </c>
      <c r="K1282" s="1">
        <f t="shared" si="784"/>
        <v>0.76843288212753924</v>
      </c>
    </row>
    <row r="1283" spans="2:11" x14ac:dyDescent="0.25">
      <c r="B1283" s="5" t="str">
        <f t="shared" si="777"/>
        <v>SPS3</v>
      </c>
      <c r="C1283" s="5" t="str">
        <f t="shared" si="775"/>
        <v>CH</v>
      </c>
      <c r="D1283" t="s">
        <v>1201</v>
      </c>
      <c r="E1283" t="str">
        <f t="shared" si="776"/>
        <v>km/MJ</v>
      </c>
      <c r="F1283" s="1">
        <f t="shared" si="784"/>
        <v>1.9655727497704094</v>
      </c>
      <c r="G1283" s="1">
        <f t="shared" si="784"/>
        <v>2.4747045231181852</v>
      </c>
      <c r="H1283" s="1">
        <f t="shared" si="784"/>
        <v>2.2505467698254313</v>
      </c>
      <c r="I1283" s="1">
        <f t="shared" si="784"/>
        <v>2.2501320728556435</v>
      </c>
      <c r="J1283" s="1">
        <f t="shared" si="784"/>
        <v>1.7837146689279735</v>
      </c>
      <c r="K1283" s="1">
        <f t="shared" si="784"/>
        <v>0.70965903400473751</v>
      </c>
    </row>
    <row r="1284" spans="2:11" x14ac:dyDescent="0.25">
      <c r="B1284" s="5" t="str">
        <f t="shared" si="777"/>
        <v>SPS3</v>
      </c>
      <c r="C1284" s="5" t="str">
        <f t="shared" si="775"/>
        <v>CH</v>
      </c>
      <c r="D1284" t="s">
        <v>1202</v>
      </c>
      <c r="E1284" t="str">
        <f t="shared" si="776"/>
        <v>km/MJ</v>
      </c>
      <c r="F1284" s="1">
        <f t="shared" si="784"/>
        <v>1.1442288548726438</v>
      </c>
      <c r="G1284" s="1">
        <f t="shared" si="784"/>
        <v>1.326862696590418</v>
      </c>
      <c r="H1284" s="1">
        <f t="shared" si="784"/>
        <v>1.3217364091646031</v>
      </c>
      <c r="I1284" s="1">
        <f t="shared" si="784"/>
        <v>1.3289331159241473</v>
      </c>
      <c r="J1284" s="1">
        <f t="shared" si="784"/>
        <v>0.73517156620119872</v>
      </c>
      <c r="K1284" s="1">
        <f t="shared" si="784"/>
        <v>0.70232433625739532</v>
      </c>
    </row>
    <row r="1285" spans="2:11" x14ac:dyDescent="0.25">
      <c r="B1285" s="5" t="str">
        <f t="shared" si="777"/>
        <v>SPS3</v>
      </c>
      <c r="C1285" s="5" t="str">
        <f t="shared" si="775"/>
        <v>CH</v>
      </c>
      <c r="D1285" t="s">
        <v>1203</v>
      </c>
      <c r="E1285" t="str">
        <f t="shared" si="776"/>
        <v>km/MJ</v>
      </c>
      <c r="F1285" s="1">
        <f t="shared" si="784"/>
        <v>0.28603940550919443</v>
      </c>
      <c r="G1285" s="1">
        <f t="shared" si="784"/>
        <v>0.29254854993039736</v>
      </c>
      <c r="H1285" s="1">
        <f t="shared" si="784"/>
        <v>0.30231226656220067</v>
      </c>
      <c r="I1285" s="1">
        <f t="shared" si="784"/>
        <v>0.31858512761520613</v>
      </c>
      <c r="J1285" s="1" t="str">
        <f t="shared" si="784"/>
        <v>-</v>
      </c>
      <c r="K1285" s="1" t="str">
        <f t="shared" si="784"/>
        <v>-</v>
      </c>
    </row>
    <row r="1286" spans="2:11" x14ac:dyDescent="0.25">
      <c r="B1286" s="5" t="str">
        <f t="shared" si="777"/>
        <v>SPS3</v>
      </c>
      <c r="C1286" s="5" t="str">
        <f t="shared" si="775"/>
        <v>CH</v>
      </c>
      <c r="D1286" t="s">
        <v>1204</v>
      </c>
      <c r="E1286" t="str">
        <f t="shared" si="776"/>
        <v>km/MJ</v>
      </c>
      <c r="F1286" s="1">
        <f t="shared" si="784"/>
        <v>0.68254402445880891</v>
      </c>
      <c r="G1286" s="1">
        <f t="shared" si="784"/>
        <v>0.67609750807783375</v>
      </c>
      <c r="H1286" s="1">
        <f t="shared" si="784"/>
        <v>0.67542800209075615</v>
      </c>
      <c r="I1286" s="1">
        <f t="shared" si="784"/>
        <v>0.68145657570915996</v>
      </c>
      <c r="J1286" s="1">
        <f t="shared" si="784"/>
        <v>0.59916790301718592</v>
      </c>
      <c r="K1286" s="1">
        <f t="shared" si="784"/>
        <v>0.62816200783532317</v>
      </c>
    </row>
    <row r="1287" spans="2:11" x14ac:dyDescent="0.25">
      <c r="B1287" s="5" t="str">
        <f t="shared" si="777"/>
        <v>SPS3</v>
      </c>
      <c r="C1287" s="5" t="str">
        <f t="shared" si="775"/>
        <v>CH</v>
      </c>
      <c r="D1287" t="s">
        <v>1205</v>
      </c>
      <c r="E1287" t="str">
        <f t="shared" si="776"/>
        <v>km/MJ</v>
      </c>
      <c r="F1287" s="1">
        <f t="shared" si="784"/>
        <v>0.60633654069155107</v>
      </c>
      <c r="G1287" s="1">
        <f t="shared" si="784"/>
        <v>0.60445860791942296</v>
      </c>
      <c r="H1287" s="1">
        <f t="shared" si="784"/>
        <v>0.60456157145447975</v>
      </c>
      <c r="I1287" s="1">
        <f t="shared" si="784"/>
        <v>0.60934923489206272</v>
      </c>
      <c r="J1287" s="1">
        <f t="shared" si="784"/>
        <v>0.49583579160659791</v>
      </c>
      <c r="K1287" s="1">
        <f t="shared" si="784"/>
        <v>0.50454300829944698</v>
      </c>
    </row>
    <row r="1288" spans="2:11" x14ac:dyDescent="0.25">
      <c r="B1288" s="5" t="str">
        <f t="shared" si="777"/>
        <v>SPS3</v>
      </c>
      <c r="C1288" s="5" t="str">
        <f t="shared" si="775"/>
        <v>CH</v>
      </c>
      <c r="D1288" t="s">
        <v>1206</v>
      </c>
      <c r="E1288" t="str">
        <f t="shared" si="776"/>
        <v>km/MJ</v>
      </c>
      <c r="F1288" s="1">
        <f t="shared" si="784"/>
        <v>0.516712516434641</v>
      </c>
      <c r="G1288" s="1">
        <f t="shared" si="784"/>
        <v>0.51602758858537723</v>
      </c>
      <c r="H1288" s="1">
        <f t="shared" si="784"/>
        <v>0.51597264888114613</v>
      </c>
      <c r="I1288" s="1">
        <f t="shared" si="784"/>
        <v>0.5202049172800306</v>
      </c>
      <c r="J1288" s="1">
        <f t="shared" si="784"/>
        <v>0.46260165086881339</v>
      </c>
      <c r="K1288" s="1">
        <f t="shared" si="784"/>
        <v>0.46895179880015059</v>
      </c>
    </row>
    <row r="1289" spans="2:11" x14ac:dyDescent="0.25">
      <c r="B1289" s="5" t="str">
        <f t="shared" si="777"/>
        <v>SPS3</v>
      </c>
      <c r="C1289" s="5" t="str">
        <f t="shared" si="775"/>
        <v>CH</v>
      </c>
      <c r="D1289" t="s">
        <v>1207</v>
      </c>
      <c r="E1289" t="str">
        <f t="shared" si="776"/>
        <v>km/MJ</v>
      </c>
      <c r="F1289" s="1">
        <f t="shared" si="784"/>
        <v>0.44020903966855229</v>
      </c>
      <c r="G1289" s="1">
        <f t="shared" si="784"/>
        <v>0.43330079115410391</v>
      </c>
      <c r="H1289" s="1">
        <f t="shared" si="784"/>
        <v>0.43375234761963144</v>
      </c>
      <c r="I1289" s="1">
        <f t="shared" si="784"/>
        <v>0.43704191138453802</v>
      </c>
      <c r="J1289" s="1">
        <f t="shared" si="784"/>
        <v>0.46461498695976783</v>
      </c>
      <c r="K1289" s="1">
        <f t="shared" si="784"/>
        <v>0.47329901763586857</v>
      </c>
    </row>
    <row r="1290" spans="2:11" x14ac:dyDescent="0.25">
      <c r="B1290" s="5" t="str">
        <f t="shared" si="777"/>
        <v>SPS3</v>
      </c>
      <c r="C1290" s="5" t="str">
        <f t="shared" si="775"/>
        <v>CH</v>
      </c>
      <c r="D1290" t="s">
        <v>1208</v>
      </c>
      <c r="E1290" t="str">
        <f t="shared" si="776"/>
        <v>km/MJ</v>
      </c>
      <c r="F1290" s="1" t="str">
        <f t="shared" si="784"/>
        <v>-</v>
      </c>
      <c r="G1290" s="1">
        <f t="shared" si="784"/>
        <v>0.51837627625535254</v>
      </c>
      <c r="H1290" s="1">
        <f t="shared" si="784"/>
        <v>0.54725168201269125</v>
      </c>
      <c r="I1290" s="1">
        <f t="shared" si="784"/>
        <v>0.58332467577730096</v>
      </c>
      <c r="J1290" s="1">
        <f t="shared" si="784"/>
        <v>0.65342878830674023</v>
      </c>
      <c r="K1290" s="1">
        <f t="shared" si="784"/>
        <v>0.72688665056226265</v>
      </c>
    </row>
    <row r="1291" spans="2:11" x14ac:dyDescent="0.25">
      <c r="B1291" s="5" t="str">
        <f t="shared" si="777"/>
        <v>SPS3</v>
      </c>
      <c r="C1291" s="5" t="str">
        <f t="shared" si="775"/>
        <v>CH</v>
      </c>
      <c r="D1291" t="s">
        <v>1209</v>
      </c>
      <c r="E1291" t="str">
        <f t="shared" si="776"/>
        <v>km/MJ</v>
      </c>
      <c r="F1291" s="1" t="str">
        <f t="shared" si="784"/>
        <v>-</v>
      </c>
      <c r="G1291" s="1">
        <f t="shared" si="784"/>
        <v>0.41733711223535047</v>
      </c>
      <c r="H1291" s="1">
        <f t="shared" si="784"/>
        <v>0.43923984653920489</v>
      </c>
      <c r="I1291" s="1">
        <f t="shared" si="784"/>
        <v>0.4739772877473184</v>
      </c>
      <c r="J1291" s="1">
        <f t="shared" si="784"/>
        <v>0.55651571937413047</v>
      </c>
      <c r="K1291" s="1">
        <f t="shared" si="784"/>
        <v>0.5940419216106263</v>
      </c>
    </row>
    <row r="1292" spans="2:11" x14ac:dyDescent="0.25">
      <c r="B1292" s="5" t="str">
        <f t="shared" si="777"/>
        <v>SPS3</v>
      </c>
      <c r="C1292" s="5" t="str">
        <f t="shared" si="775"/>
        <v>CH</v>
      </c>
      <c r="D1292" t="s">
        <v>1210</v>
      </c>
      <c r="E1292" t="str">
        <f t="shared" si="776"/>
        <v>km/MJ</v>
      </c>
      <c r="F1292" s="1" t="str">
        <f t="shared" si="784"/>
        <v>-</v>
      </c>
      <c r="G1292" s="1">
        <f t="shared" si="784"/>
        <v>0.38796990995538633</v>
      </c>
      <c r="H1292" s="1">
        <f t="shared" si="784"/>
        <v>0.40956722125650008</v>
      </c>
      <c r="I1292" s="1">
        <f t="shared" si="784"/>
        <v>0.43686571306590244</v>
      </c>
      <c r="J1292" s="1">
        <f t="shared" si="784"/>
        <v>0.51719522033085796</v>
      </c>
      <c r="K1292" s="1">
        <f t="shared" si="784"/>
        <v>0.55229458387631647</v>
      </c>
    </row>
    <row r="1293" spans="2:11" x14ac:dyDescent="0.25">
      <c r="B1293" s="5" t="str">
        <f t="shared" si="777"/>
        <v>SPS3</v>
      </c>
      <c r="C1293" s="5" t="str">
        <f t="shared" si="775"/>
        <v>CH</v>
      </c>
      <c r="D1293" t="s">
        <v>1211</v>
      </c>
      <c r="E1293" t="str">
        <f t="shared" si="776"/>
        <v>km/MJ</v>
      </c>
      <c r="F1293" s="1" t="str">
        <f t="shared" si="784"/>
        <v>-</v>
      </c>
      <c r="G1293" s="1">
        <f t="shared" si="784"/>
        <v>0.39332458747711402</v>
      </c>
      <c r="H1293" s="1">
        <f t="shared" si="784"/>
        <v>0.4164134517888784</v>
      </c>
      <c r="I1293" s="1">
        <f t="shared" si="784"/>
        <v>0.44986467273356268</v>
      </c>
      <c r="J1293" s="1">
        <f t="shared" si="784"/>
        <v>0.53878617183019739</v>
      </c>
      <c r="K1293" s="1">
        <f t="shared" si="784"/>
        <v>0.56766395510370138</v>
      </c>
    </row>
    <row r="1294" spans="2:11" x14ac:dyDescent="0.25">
      <c r="B1294" s="5" t="str">
        <f t="shared" si="777"/>
        <v>SPS3</v>
      </c>
      <c r="C1294" s="5" t="str">
        <f t="shared" si="775"/>
        <v>CH</v>
      </c>
      <c r="D1294" t="s">
        <v>1235</v>
      </c>
      <c r="E1294" t="str">
        <f t="shared" si="776"/>
        <v>km/MJ</v>
      </c>
      <c r="F1294" s="1" t="str">
        <f t="shared" ref="F1294:K1307" si="785">IFERROR(F1243/F1183,"-")</f>
        <v>-</v>
      </c>
      <c r="G1294" s="1" t="str">
        <f t="shared" si="785"/>
        <v>-</v>
      </c>
      <c r="H1294" s="1" t="str">
        <f t="shared" si="785"/>
        <v>-</v>
      </c>
      <c r="I1294" s="1" t="str">
        <f t="shared" si="785"/>
        <v>-</v>
      </c>
      <c r="J1294" s="1" t="str">
        <f t="shared" si="785"/>
        <v>-</v>
      </c>
      <c r="K1294" s="1" t="str">
        <f t="shared" si="785"/>
        <v>-</v>
      </c>
    </row>
    <row r="1295" spans="2:11" x14ac:dyDescent="0.25">
      <c r="B1295" s="5" t="str">
        <f t="shared" si="777"/>
        <v>SPS3</v>
      </c>
      <c r="C1295" s="5" t="str">
        <f t="shared" si="775"/>
        <v>CH</v>
      </c>
      <c r="D1295" t="s">
        <v>1212</v>
      </c>
      <c r="E1295" t="str">
        <f t="shared" si="776"/>
        <v>km/MJ</v>
      </c>
      <c r="F1295" s="1">
        <f t="shared" si="785"/>
        <v>0.41824117647058817</v>
      </c>
      <c r="G1295" s="1">
        <f t="shared" si="785"/>
        <v>1.697580894583345</v>
      </c>
      <c r="H1295" s="1">
        <f t="shared" si="785"/>
        <v>1.6901954634943819</v>
      </c>
      <c r="I1295" s="1">
        <f t="shared" si="785"/>
        <v>1.0556640072919545</v>
      </c>
      <c r="J1295" s="1">
        <f t="shared" si="785"/>
        <v>0.91109021571230331</v>
      </c>
      <c r="K1295" s="1">
        <f t="shared" si="785"/>
        <v>0.92537567525085407</v>
      </c>
    </row>
    <row r="1296" spans="2:11" x14ac:dyDescent="0.25">
      <c r="B1296" s="5" t="str">
        <f t="shared" si="777"/>
        <v>SPS3</v>
      </c>
      <c r="C1296" s="5" t="str">
        <f t="shared" si="775"/>
        <v>CH</v>
      </c>
      <c r="D1296" t="s">
        <v>1213</v>
      </c>
      <c r="E1296" t="str">
        <f t="shared" si="776"/>
        <v>km/MJ</v>
      </c>
      <c r="F1296" s="1">
        <f t="shared" si="785"/>
        <v>1.1736474817343261</v>
      </c>
      <c r="G1296" s="1">
        <f t="shared" si="785"/>
        <v>2.6813290117470658</v>
      </c>
      <c r="H1296" s="1">
        <f t="shared" si="785"/>
        <v>2.2027845979160485</v>
      </c>
      <c r="I1296" s="1">
        <f t="shared" si="785"/>
        <v>1.2315738321760596</v>
      </c>
      <c r="J1296" s="1">
        <f t="shared" si="785"/>
        <v>0.79515222838492805</v>
      </c>
      <c r="K1296" s="1">
        <f t="shared" si="785"/>
        <v>0.76776173758312383</v>
      </c>
    </row>
    <row r="1297" spans="2:11" x14ac:dyDescent="0.25">
      <c r="B1297" s="5" t="str">
        <f t="shared" si="777"/>
        <v>SPS3</v>
      </c>
      <c r="C1297" s="5" t="str">
        <f t="shared" si="775"/>
        <v>CH</v>
      </c>
      <c r="D1297" t="s">
        <v>1214</v>
      </c>
      <c r="E1297" t="str">
        <f t="shared" si="776"/>
        <v>km/MJ</v>
      </c>
      <c r="F1297" s="1">
        <f t="shared" si="785"/>
        <v>0.90013962805080039</v>
      </c>
      <c r="G1297" s="1">
        <f t="shared" si="785"/>
        <v>1.5325735000853016</v>
      </c>
      <c r="H1297" s="1">
        <f t="shared" si="785"/>
        <v>1.5271568459465585</v>
      </c>
      <c r="I1297" s="1">
        <f t="shared" si="785"/>
        <v>1.5435676010050263</v>
      </c>
      <c r="J1297" s="1">
        <f t="shared" si="785"/>
        <v>0.75083518309908381</v>
      </c>
      <c r="K1297" s="1">
        <f t="shared" si="785"/>
        <v>0.70903628332367008</v>
      </c>
    </row>
    <row r="1298" spans="2:11" x14ac:dyDescent="0.25">
      <c r="B1298" s="5" t="str">
        <f t="shared" si="777"/>
        <v>SPS3</v>
      </c>
      <c r="C1298" s="5" t="str">
        <f t="shared" si="775"/>
        <v>CH</v>
      </c>
      <c r="D1298" t="s">
        <v>1215</v>
      </c>
      <c r="E1298" t="str">
        <f t="shared" si="776"/>
        <v>km/MJ</v>
      </c>
      <c r="F1298" s="1">
        <f t="shared" si="785"/>
        <v>1.3457511645472786</v>
      </c>
      <c r="G1298" s="1">
        <f t="shared" si="785"/>
        <v>1.6564364079776144</v>
      </c>
      <c r="H1298" s="1">
        <f t="shared" si="785"/>
        <v>1.6498514013904098</v>
      </c>
      <c r="I1298" s="1">
        <f t="shared" si="785"/>
        <v>1.6515116293898016</v>
      </c>
      <c r="J1298" s="1">
        <f t="shared" si="785"/>
        <v>0.83541151546484227</v>
      </c>
      <c r="K1298" s="1">
        <f t="shared" si="785"/>
        <v>0.70173960879878272</v>
      </c>
    </row>
    <row r="1299" spans="2:11" x14ac:dyDescent="0.25">
      <c r="B1299" s="5" t="str">
        <f t="shared" si="777"/>
        <v>SPS3</v>
      </c>
      <c r="C1299" s="5" t="str">
        <f t="shared" si="775"/>
        <v>CH</v>
      </c>
      <c r="D1299" t="s">
        <v>1216</v>
      </c>
      <c r="E1299" t="str">
        <f t="shared" si="776"/>
        <v>km/MJ</v>
      </c>
      <c r="F1299" s="1">
        <f t="shared" si="785"/>
        <v>0.33901850024086</v>
      </c>
      <c r="G1299" s="1">
        <f t="shared" si="785"/>
        <v>0.35391427166601103</v>
      </c>
      <c r="H1299" s="1">
        <f t="shared" si="785"/>
        <v>0.37625792880373743</v>
      </c>
      <c r="I1299" s="1">
        <f t="shared" si="785"/>
        <v>0.41349735736661475</v>
      </c>
      <c r="J1299" s="1" t="str">
        <f t="shared" si="785"/>
        <v>-</v>
      </c>
      <c r="K1299" s="1" t="str">
        <f t="shared" si="785"/>
        <v>-</v>
      </c>
    </row>
    <row r="1300" spans="2:11" x14ac:dyDescent="0.25">
      <c r="B1300" s="5" t="str">
        <f t="shared" si="777"/>
        <v>SPS3</v>
      </c>
      <c r="C1300" s="5" t="str">
        <f t="shared" si="775"/>
        <v>CH</v>
      </c>
      <c r="D1300" t="s">
        <v>1217</v>
      </c>
      <c r="E1300" t="str">
        <f t="shared" si="776"/>
        <v>km/MJ</v>
      </c>
      <c r="F1300" s="1">
        <f t="shared" si="785"/>
        <v>0.75009563885827335</v>
      </c>
      <c r="G1300" s="1">
        <f t="shared" si="785"/>
        <v>0.77390965329742811</v>
      </c>
      <c r="H1300" s="1">
        <f t="shared" si="785"/>
        <v>0.78031536620027164</v>
      </c>
      <c r="I1300" s="1">
        <f t="shared" si="785"/>
        <v>0.77118181068040192</v>
      </c>
      <c r="J1300" s="1">
        <f t="shared" si="785"/>
        <v>0.64512547775446416</v>
      </c>
      <c r="K1300" s="1">
        <f t="shared" si="785"/>
        <v>0.65127760809627466</v>
      </c>
    </row>
    <row r="1301" spans="2:11" x14ac:dyDescent="0.25">
      <c r="B1301" s="5" t="str">
        <f t="shared" si="777"/>
        <v>SPS3</v>
      </c>
      <c r="C1301" s="5" t="str">
        <f t="shared" si="775"/>
        <v>CH</v>
      </c>
      <c r="D1301" t="s">
        <v>1218</v>
      </c>
      <c r="E1301" t="str">
        <f t="shared" si="776"/>
        <v>km/MJ</v>
      </c>
      <c r="F1301" s="1">
        <f t="shared" si="785"/>
        <v>0.69960671646906991</v>
      </c>
      <c r="G1301" s="1">
        <f t="shared" si="785"/>
        <v>0.70375712745516716</v>
      </c>
      <c r="H1301" s="1">
        <f t="shared" si="785"/>
        <v>0.70288447805288123</v>
      </c>
      <c r="I1301" s="1">
        <f t="shared" si="785"/>
        <v>0.73360221833260553</v>
      </c>
      <c r="J1301" s="1">
        <f t="shared" si="785"/>
        <v>0.51951551775459037</v>
      </c>
      <c r="K1301" s="1">
        <f t="shared" si="785"/>
        <v>0.52262562375013444</v>
      </c>
    </row>
    <row r="1302" spans="2:11" x14ac:dyDescent="0.25">
      <c r="B1302" s="5" t="str">
        <f t="shared" si="777"/>
        <v>SPS3</v>
      </c>
      <c r="C1302" s="5" t="str">
        <f t="shared" si="775"/>
        <v>CH</v>
      </c>
      <c r="D1302" t="s">
        <v>1219</v>
      </c>
      <c r="E1302" t="str">
        <f t="shared" si="776"/>
        <v>km/MJ</v>
      </c>
      <c r="F1302" s="1">
        <f t="shared" si="785"/>
        <v>0.52816503499900191</v>
      </c>
      <c r="G1302" s="1">
        <f t="shared" si="785"/>
        <v>0.53242272733302898</v>
      </c>
      <c r="H1302" s="1">
        <f t="shared" si="785"/>
        <v>0.53195743233481962</v>
      </c>
      <c r="I1302" s="1">
        <f t="shared" si="785"/>
        <v>0.54120462532414493</v>
      </c>
      <c r="J1302" s="1">
        <f t="shared" si="785"/>
        <v>0.48041100738298453</v>
      </c>
      <c r="K1302" s="1">
        <f t="shared" si="785"/>
        <v>0.48577678811134373</v>
      </c>
    </row>
    <row r="1303" spans="2:11" x14ac:dyDescent="0.25">
      <c r="B1303" s="5" t="str">
        <f t="shared" si="777"/>
        <v>SPS3</v>
      </c>
      <c r="C1303" s="5" t="str">
        <f t="shared" si="775"/>
        <v>CH</v>
      </c>
      <c r="D1303" t="s">
        <v>1220</v>
      </c>
      <c r="E1303" t="str">
        <f t="shared" si="776"/>
        <v>km/MJ</v>
      </c>
      <c r="F1303" s="1">
        <f t="shared" si="785"/>
        <v>0.46615477717822695</v>
      </c>
      <c r="G1303" s="1">
        <f t="shared" si="785"/>
        <v>0.45574713329881372</v>
      </c>
      <c r="H1303" s="1">
        <f t="shared" si="785"/>
        <v>0.45674638646745969</v>
      </c>
      <c r="I1303" s="1">
        <f t="shared" si="785"/>
        <v>0.46317353242914605</v>
      </c>
      <c r="J1303" s="1">
        <f t="shared" si="785"/>
        <v>0.44851667949088309</v>
      </c>
      <c r="K1303" s="1">
        <f t="shared" si="785"/>
        <v>0.45905182841025838</v>
      </c>
    </row>
    <row r="1304" spans="2:11" x14ac:dyDescent="0.25">
      <c r="B1304" s="5" t="str">
        <f t="shared" si="777"/>
        <v>SPS3</v>
      </c>
      <c r="C1304" s="5" t="str">
        <f t="shared" si="775"/>
        <v>CH</v>
      </c>
      <c r="D1304" t="s">
        <v>1221</v>
      </c>
      <c r="E1304" t="str">
        <f t="shared" si="776"/>
        <v>km/MJ</v>
      </c>
      <c r="F1304" s="1" t="str">
        <f t="shared" si="785"/>
        <v>-</v>
      </c>
      <c r="G1304" s="1">
        <f t="shared" si="785"/>
        <v>0.56203544748554624</v>
      </c>
      <c r="H1304" s="1">
        <f t="shared" si="785"/>
        <v>0.58454839568773209</v>
      </c>
      <c r="I1304" s="1">
        <f t="shared" si="785"/>
        <v>0.62600002404855704</v>
      </c>
      <c r="J1304" s="1">
        <f t="shared" si="785"/>
        <v>0.70166851762612792</v>
      </c>
      <c r="K1304" s="1">
        <f t="shared" si="785"/>
        <v>0.75620270403020162</v>
      </c>
    </row>
    <row r="1305" spans="2:11" x14ac:dyDescent="0.25">
      <c r="B1305" s="5" t="str">
        <f t="shared" si="777"/>
        <v>SPS3</v>
      </c>
      <c r="C1305" s="5" t="str">
        <f t="shared" si="775"/>
        <v>CH</v>
      </c>
      <c r="D1305" t="s">
        <v>1222</v>
      </c>
      <c r="E1305" t="str">
        <f t="shared" si="776"/>
        <v>km/MJ</v>
      </c>
      <c r="F1305" s="1" t="str">
        <f t="shared" si="785"/>
        <v>-</v>
      </c>
      <c r="G1305" s="1">
        <f t="shared" si="785"/>
        <v>0.45210145766281412</v>
      </c>
      <c r="H1305" s="1">
        <f t="shared" si="785"/>
        <v>0.47092835861691112</v>
      </c>
      <c r="I1305" s="1">
        <f t="shared" si="785"/>
        <v>0.50587525201331829</v>
      </c>
      <c r="J1305" s="1">
        <f t="shared" si="785"/>
        <v>0.58586649673328683</v>
      </c>
      <c r="K1305" s="1">
        <f t="shared" si="785"/>
        <v>0.61719631990529533</v>
      </c>
    </row>
    <row r="1306" spans="2:11" x14ac:dyDescent="0.25">
      <c r="B1306" s="5" t="str">
        <f t="shared" si="777"/>
        <v>SPS3</v>
      </c>
      <c r="C1306" s="5" t="str">
        <f t="shared" si="775"/>
        <v>CH</v>
      </c>
      <c r="D1306" t="s">
        <v>1223</v>
      </c>
      <c r="E1306" t="str">
        <f t="shared" si="776"/>
        <v>km/MJ</v>
      </c>
      <c r="F1306" s="1" t="str">
        <f t="shared" si="785"/>
        <v>-</v>
      </c>
      <c r="G1306" s="1">
        <f t="shared" si="785"/>
        <v>0.4202814963287691</v>
      </c>
      <c r="H1306" s="1">
        <f t="shared" si="785"/>
        <v>0.43902576602749482</v>
      </c>
      <c r="I1306" s="1">
        <f t="shared" si="785"/>
        <v>0.46543455622450747</v>
      </c>
      <c r="J1306" s="1">
        <f t="shared" si="785"/>
        <v>0.54428383658870416</v>
      </c>
      <c r="K1306" s="1">
        <f t="shared" si="785"/>
        <v>0.57369525908934216</v>
      </c>
    </row>
    <row r="1307" spans="2:11" x14ac:dyDescent="0.25">
      <c r="B1307" s="5" t="str">
        <f t="shared" si="777"/>
        <v>SPS3</v>
      </c>
      <c r="C1307" s="5" t="str">
        <f t="shared" si="775"/>
        <v>CH</v>
      </c>
      <c r="D1307" t="s">
        <v>1224</v>
      </c>
      <c r="E1307" t="str">
        <f t="shared" si="776"/>
        <v>km/MJ</v>
      </c>
      <c r="F1307" s="1" t="str">
        <f t="shared" si="785"/>
        <v>-</v>
      </c>
      <c r="G1307" s="1">
        <f t="shared" si="785"/>
        <v>0.39943403925494803</v>
      </c>
      <c r="H1307" s="1">
        <f t="shared" si="785"/>
        <v>0.4159030055372831</v>
      </c>
      <c r="I1307" s="1">
        <f t="shared" si="785"/>
        <v>0.43688349262637127</v>
      </c>
      <c r="J1307" s="1">
        <f t="shared" si="785"/>
        <v>0.51729385729683997</v>
      </c>
      <c r="K1307" s="1">
        <f t="shared" si="785"/>
        <v>0.54100586288178021</v>
      </c>
    </row>
    <row r="1308" spans="2:11" x14ac:dyDescent="0.25">
      <c r="B1308" s="5" t="str">
        <f t="shared" si="777"/>
        <v>SPS3</v>
      </c>
      <c r="C1308" s="5" t="str">
        <f t="shared" si="775"/>
        <v>CH</v>
      </c>
      <c r="D1308" t="s">
        <v>1225</v>
      </c>
      <c r="E1308" t="str">
        <f t="shared" si="776"/>
        <v>km/MJ</v>
      </c>
      <c r="F1308" s="1" t="str">
        <f>IFERROR(F1257/F1206,"-")</f>
        <v>-</v>
      </c>
      <c r="G1308" s="1">
        <f t="shared" ref="G1308:K1312" si="786">IFERROR(G1257/G1197,"-")</f>
        <v>0</v>
      </c>
      <c r="H1308" s="1">
        <f t="shared" si="786"/>
        <v>0</v>
      </c>
      <c r="I1308" s="1">
        <f t="shared" si="786"/>
        <v>0</v>
      </c>
      <c r="J1308" s="1">
        <f t="shared" si="786"/>
        <v>0</v>
      </c>
      <c r="K1308" s="1">
        <f t="shared" si="786"/>
        <v>0</v>
      </c>
    </row>
    <row r="1309" spans="2:11" x14ac:dyDescent="0.25">
      <c r="B1309" s="5" t="str">
        <f t="shared" si="777"/>
        <v>SPS3</v>
      </c>
      <c r="C1309" s="5" t="str">
        <f t="shared" si="775"/>
        <v>CH</v>
      </c>
      <c r="D1309" t="s">
        <v>1226</v>
      </c>
      <c r="E1309" t="str">
        <f t="shared" si="776"/>
        <v>km/MJ</v>
      </c>
      <c r="F1309" s="1">
        <f>IFERROR(F1258/F1207,"-")</f>
        <v>0.61536441193243252</v>
      </c>
      <c r="G1309" s="1">
        <f t="shared" si="786"/>
        <v>2.616312463755941</v>
      </c>
      <c r="H1309" s="1">
        <f t="shared" si="786"/>
        <v>1.2183478098119593</v>
      </c>
      <c r="I1309" s="1">
        <f t="shared" si="786"/>
        <v>3.9458060689252498E-2</v>
      </c>
      <c r="J1309" s="1">
        <f t="shared" si="786"/>
        <v>1.8218210734579634E-4</v>
      </c>
      <c r="K1309" s="1">
        <f t="shared" si="786"/>
        <v>2.1070324969441989E-4</v>
      </c>
    </row>
    <row r="1310" spans="2:11" x14ac:dyDescent="0.25">
      <c r="B1310" s="5" t="str">
        <f t="shared" si="777"/>
        <v>SPS3</v>
      </c>
      <c r="C1310" s="5" t="str">
        <f t="shared" si="775"/>
        <v>CH</v>
      </c>
      <c r="D1310" t="s">
        <v>1227</v>
      </c>
      <c r="E1310" t="str">
        <f t="shared" si="776"/>
        <v>km/MJ</v>
      </c>
      <c r="F1310" s="1">
        <f>IFERROR(F1259/F1208,"-")</f>
        <v>0.66036545882515663</v>
      </c>
      <c r="G1310" s="1">
        <f t="shared" si="786"/>
        <v>3.8924770551592734E-2</v>
      </c>
      <c r="H1310" s="1">
        <f t="shared" si="786"/>
        <v>2.1906383220381305E-2</v>
      </c>
      <c r="I1310" s="1">
        <f t="shared" si="786"/>
        <v>2.3466367694384253E-5</v>
      </c>
      <c r="J1310" s="1">
        <f t="shared" si="786"/>
        <v>9.1012326944907408E-6</v>
      </c>
      <c r="K1310" s="1">
        <f t="shared" si="786"/>
        <v>5.9392453028431688E-6</v>
      </c>
    </row>
    <row r="1311" spans="2:11" x14ac:dyDescent="0.25">
      <c r="B1311" s="5" t="str">
        <f t="shared" si="777"/>
        <v>SPS3</v>
      </c>
      <c r="C1311" s="5" t="str">
        <f t="shared" si="775"/>
        <v>CH</v>
      </c>
      <c r="D1311" t="s">
        <v>1228</v>
      </c>
      <c r="E1311" t="str">
        <f t="shared" si="776"/>
        <v>km/MJ</v>
      </c>
      <c r="F1311" s="1">
        <f>IFERROR(F1260/F1209,"-")</f>
        <v>0.46799779878172176</v>
      </c>
      <c r="G1311" s="1">
        <f t="shared" si="786"/>
        <v>0.10452402063068461</v>
      </c>
      <c r="H1311" s="1">
        <f t="shared" si="786"/>
        <v>9.0821860948212027E-2</v>
      </c>
      <c r="I1311" s="1">
        <f t="shared" si="786"/>
        <v>1.3765666296116535E-2</v>
      </c>
      <c r="J1311" s="1">
        <f t="shared" si="786"/>
        <v>7.9991585922348125E-3</v>
      </c>
      <c r="K1311" s="1">
        <f t="shared" si="786"/>
        <v>7.8164865086298892E-3</v>
      </c>
    </row>
    <row r="1312" spans="2:11" x14ac:dyDescent="0.25">
      <c r="B1312" s="5" t="str">
        <f t="shared" si="777"/>
        <v>SPS3</v>
      </c>
      <c r="C1312" s="5" t="str">
        <f t="shared" si="775"/>
        <v>CH</v>
      </c>
      <c r="D1312" t="s">
        <v>1229</v>
      </c>
      <c r="E1312" t="str">
        <f t="shared" si="776"/>
        <v>km/MJ</v>
      </c>
      <c r="F1312" s="1">
        <f>IFERROR(F1261/F1210,"-")</f>
        <v>0.68268986104988971</v>
      </c>
      <c r="G1312" s="1">
        <f t="shared" si="786"/>
        <v>0.30996130262164695</v>
      </c>
      <c r="H1312" s="1">
        <f t="shared" si="786"/>
        <v>0.34613927456472277</v>
      </c>
      <c r="I1312" s="1">
        <f t="shared" si="786"/>
        <v>5.5278398254725143E-2</v>
      </c>
      <c r="J1312" s="1">
        <f t="shared" si="786"/>
        <v>0.1474875752836875</v>
      </c>
      <c r="K1312" s="1">
        <f t="shared" si="786"/>
        <v>0.14806294901284042</v>
      </c>
    </row>
    <row r="1313" spans="2:16" x14ac:dyDescent="0.25">
      <c r="B1313" s="9" t="str">
        <f t="shared" si="777"/>
        <v>SPS3</v>
      </c>
      <c r="C1313" s="9" t="str">
        <f t="shared" ref="C1313" si="787">C1312</f>
        <v>CH</v>
      </c>
      <c r="D1313" s="2" t="s">
        <v>1305</v>
      </c>
      <c r="E1313" s="2" t="s">
        <v>8</v>
      </c>
      <c r="F1313" s="3">
        <f>F1314+F1320+F1325+F1339</f>
        <v>0.75918578286261185</v>
      </c>
      <c r="G1313" s="3">
        <f t="shared" ref="G1313:K1313" si="788">G1314+G1320+G1325+G1339</f>
        <v>1.3480782822898016</v>
      </c>
      <c r="H1313" s="3">
        <f t="shared" si="788"/>
        <v>2.1836668919806419</v>
      </c>
      <c r="I1313" s="3">
        <f t="shared" si="788"/>
        <v>1.5230425802374656</v>
      </c>
      <c r="J1313" s="3">
        <f t="shared" si="788"/>
        <v>1.5860525052409831</v>
      </c>
      <c r="K1313" s="3">
        <f t="shared" si="788"/>
        <v>1.3383965629811934</v>
      </c>
      <c r="M1313" s="3"/>
      <c r="N1313" s="3"/>
      <c r="O1313" s="3"/>
      <c r="P1313" s="3"/>
    </row>
    <row r="1314" spans="2:16" x14ac:dyDescent="0.25">
      <c r="B1314" s="5" t="str">
        <f t="shared" si="777"/>
        <v>SPS3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5.6403769655751458E-3</v>
      </c>
      <c r="G1314" s="1">
        <f t="shared" ref="G1314:K1314" si="789">SUM(G1315:G1319)</f>
        <v>9.3073413957602529E-3</v>
      </c>
      <c r="H1314" s="1">
        <f t="shared" si="789"/>
        <v>1.2366089758388618E-2</v>
      </c>
      <c r="I1314" s="1">
        <f t="shared" si="789"/>
        <v>0.95391778620821721</v>
      </c>
      <c r="J1314" s="1">
        <f t="shared" si="789"/>
        <v>0.90340823563873673</v>
      </c>
      <c r="K1314" s="1">
        <f t="shared" si="789"/>
        <v>0.9992172907034913</v>
      </c>
    </row>
    <row r="1315" spans="2:16" x14ac:dyDescent="0.25">
      <c r="B1315" s="5" t="str">
        <f t="shared" si="777"/>
        <v>SPS3</v>
      </c>
      <c r="C1315" s="5" t="str">
        <f t="shared" ref="C1315:C1348" si="790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4.7386348529212781E-4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4.7699033175206782E-4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4.6757428606481475E-4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777"/>
        <v>SPS3</v>
      </c>
      <c r="C1316" s="5" t="str">
        <f t="shared" si="790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3.6073162693215954E-7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9.6774754143838439E-4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1.9848093152954344E-3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0.24507774216355904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0.25164739035113365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0.11219931452141051</v>
      </c>
    </row>
    <row r="1317" spans="2:16" x14ac:dyDescent="0.25">
      <c r="B1317" s="5" t="str">
        <f t="shared" si="777"/>
        <v>SPS3</v>
      </c>
      <c r="C1317" s="5" t="str">
        <f t="shared" si="790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1.1888011099686696E-3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2.1041008751691544E-3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3.2220467853207352E-3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0.12182408297648882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0.12457955434548436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0.11985459919550456</v>
      </c>
    </row>
    <row r="1318" spans="2:16" x14ac:dyDescent="0.25">
      <c r="B1318" s="5" t="str">
        <f t="shared" si="777"/>
        <v>SPS3</v>
      </c>
      <c r="C1318" s="5" t="str">
        <f t="shared" si="790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3.7491833329563631E-3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5.5081114101922183E-3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6.2568834523559413E-3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0.58682702970365563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0.52700825601431045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0.76710128433238256</v>
      </c>
    </row>
    <row r="1319" spans="2:16" x14ac:dyDescent="0.25">
      <c r="B1319" s="5" t="str">
        <f t="shared" si="777"/>
        <v>SPS3</v>
      </c>
      <c r="C1319" s="5" t="str">
        <f t="shared" si="790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2.2816830573105327E-4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2.5039123720842747E-4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4.3477591935169144E-4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1.8893136451373965E-4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1.7303492780825267E-4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6.2092654193607964E-5</v>
      </c>
    </row>
    <row r="1320" spans="2:16" x14ac:dyDescent="0.25">
      <c r="B1320" s="5" t="str">
        <f t="shared" si="777"/>
        <v>SPS3</v>
      </c>
      <c r="C1320" s="5" t="str">
        <f t="shared" si="790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791">SUM(G1321:G1324)</f>
        <v>0</v>
      </c>
      <c r="H1320" s="1">
        <f t="shared" si="791"/>
        <v>0</v>
      </c>
      <c r="I1320" s="1">
        <f t="shared" si="791"/>
        <v>5.5375801932187113E-3</v>
      </c>
      <c r="J1320" s="1">
        <f t="shared" si="791"/>
        <v>5.0402100587107028E-3</v>
      </c>
      <c r="K1320" s="1">
        <f t="shared" si="791"/>
        <v>3.7075052660305426E-2</v>
      </c>
    </row>
    <row r="1321" spans="2:16" x14ac:dyDescent="0.25">
      <c r="B1321" s="5" t="str">
        <f t="shared" si="777"/>
        <v>SPS3</v>
      </c>
      <c r="C1321" s="5" t="str">
        <f t="shared" si="790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2.7385363762969498E-4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1.4892037852119542E-3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3.3095081016392587E-2</v>
      </c>
    </row>
    <row r="1322" spans="2:16" x14ac:dyDescent="0.25">
      <c r="B1322" s="5" t="str">
        <f t="shared" si="777"/>
        <v>SPS3</v>
      </c>
      <c r="C1322" s="5" t="str">
        <f t="shared" si="790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2.6512883855644233E-4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1.0362919443274862E-3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1.2332159022123076E-3</v>
      </c>
    </row>
    <row r="1323" spans="2:16" x14ac:dyDescent="0.25">
      <c r="B1323" s="5" t="str">
        <f t="shared" si="777"/>
        <v>SPS3</v>
      </c>
      <c r="C1323" s="5" t="str">
        <f t="shared" si="790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4.9867936845173462E-3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2.4708407209393661E-3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2.7414504344344293E-3</v>
      </c>
    </row>
    <row r="1324" spans="2:16" x14ac:dyDescent="0.25">
      <c r="B1324" s="5" t="str">
        <f t="shared" si="777"/>
        <v>SPS3</v>
      </c>
      <c r="C1324" s="5" t="str">
        <f t="shared" si="790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1.1804032515227968E-5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4.3873608231896982E-5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5.3053072660959872E-6</v>
      </c>
    </row>
    <row r="1325" spans="2:16" x14ac:dyDescent="0.25">
      <c r="B1325" s="5" t="str">
        <f t="shared" si="777"/>
        <v>SPS3</v>
      </c>
      <c r="C1325" s="5" t="str">
        <f t="shared" si="790"/>
        <v>CH</v>
      </c>
      <c r="D1325" t="s">
        <v>1318</v>
      </c>
      <c r="E1325" t="s">
        <v>8</v>
      </c>
      <c r="F1325" s="1">
        <f>SUM(F1330:F1338)</f>
        <v>0.7532299284370868</v>
      </c>
      <c r="G1325" s="1">
        <f t="shared" ref="G1325:K1325" si="792">SUM(G1330:G1338)</f>
        <v>1.3369159398096699</v>
      </c>
      <c r="H1325" s="1">
        <f t="shared" si="792"/>
        <v>2.1520350580508949</v>
      </c>
      <c r="I1325" s="1">
        <f t="shared" si="792"/>
        <v>0.56358489928942479</v>
      </c>
      <c r="J1325" s="1">
        <f t="shared" si="792"/>
        <v>0.67759116263879993</v>
      </c>
      <c r="K1325" s="1">
        <f t="shared" si="792"/>
        <v>0.30210289332353979</v>
      </c>
    </row>
    <row r="1326" spans="2:16" x14ac:dyDescent="0.25">
      <c r="B1326" s="5" t="str">
        <f t="shared" si="777"/>
        <v>SPS3</v>
      </c>
      <c r="C1326" s="5" t="str">
        <f t="shared" si="790"/>
        <v>CH</v>
      </c>
      <c r="D1326" t="s">
        <v>1319</v>
      </c>
      <c r="E1326" t="s">
        <v>8</v>
      </c>
      <c r="F1326" s="1">
        <f>F1325-F1327</f>
        <v>0.73449100907761744</v>
      </c>
      <c r="G1326" s="1">
        <f t="shared" ref="G1326:K1326" si="793">G1325-G1327</f>
        <v>1.3015534184377187</v>
      </c>
      <c r="H1326" s="1">
        <f t="shared" si="793"/>
        <v>2.082655492201881</v>
      </c>
      <c r="I1326" s="1">
        <f t="shared" si="793"/>
        <v>0.53995959816786165</v>
      </c>
      <c r="J1326" s="1">
        <f t="shared" si="793"/>
        <v>0.59227234797815276</v>
      </c>
      <c r="K1326" s="1">
        <f t="shared" si="793"/>
        <v>-2.4558071954601246E-2</v>
      </c>
    </row>
    <row r="1327" spans="2:16" x14ac:dyDescent="0.25">
      <c r="B1327" s="5" t="str">
        <f t="shared" si="777"/>
        <v>SPS3</v>
      </c>
      <c r="C1327" s="5" t="str">
        <f t="shared" si="790"/>
        <v>CH</v>
      </c>
      <c r="D1327" t="s">
        <v>1320</v>
      </c>
      <c r="E1327" t="s">
        <v>8</v>
      </c>
      <c r="F1327" s="1">
        <f>SUM(F1328:F1329)</f>
        <v>1.8738919359469374E-2</v>
      </c>
      <c r="G1327" s="1">
        <f t="shared" ref="G1327" si="794">SUM(G1328:G1329)</f>
        <v>3.5362521371951366E-2</v>
      </c>
      <c r="H1327" s="1">
        <f t="shared" ref="H1327" si="795">SUM(H1328:H1329)</f>
        <v>6.937956584901403E-2</v>
      </c>
      <c r="I1327" s="1">
        <f t="shared" ref="I1327" si="796">SUM(I1328:I1329)</f>
        <v>2.3625301121563105E-2</v>
      </c>
      <c r="J1327" s="1">
        <f t="shared" ref="J1327" si="797">SUM(J1328:J1329)</f>
        <v>8.5318814660647196E-2</v>
      </c>
      <c r="K1327" s="1">
        <f t="shared" ref="K1327" si="798">SUM(K1328:K1329)</f>
        <v>0.32666096527814104</v>
      </c>
    </row>
    <row r="1328" spans="2:16" x14ac:dyDescent="0.25">
      <c r="B1328" s="5" t="str">
        <f t="shared" si="777"/>
        <v>SPS3</v>
      </c>
      <c r="C1328" s="5" t="str">
        <f t="shared" si="790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1.8738919359469374E-2</v>
      </c>
      <c r="G1328" s="1">
        <f>[1]Transport!C$26/SUM([1]Transport!C$22,[1]Transport!C$26)*G1325*(G$33+G$580)/(G$33+G$580+G$36)</f>
        <v>3.5362521371951366E-2</v>
      </c>
      <c r="H1328" s="1">
        <f>[1]Transport!D$26/SUM([1]Transport!D$22,[1]Transport!D$26)*H1325*(H$33+H$580)/(H$33+H$580+H$36)</f>
        <v>6.937956584901403E-2</v>
      </c>
      <c r="I1328" s="1">
        <f>[1]Transport!E$26/SUM([1]Transport!E$22,[1]Transport!E$26)*I1325*(I$33+I$580)/(I$33+I$580+I$36)</f>
        <v>2.3625301121563105E-2</v>
      </c>
      <c r="J1328" s="1">
        <f>[1]Transport!F$26/SUM([1]Transport!F$22,[1]Transport!F$26)*J1325*(J$33+J$580)/(J$33+J$580+J$36)</f>
        <v>3.8578418469210389E-2</v>
      </c>
      <c r="K1328" s="1">
        <f>[1]Transport!G$26/SUM([1]Transport!G$22,[1]Transport!G$26)*K1325*(K$33+K$580)/(K$33+K$580+K$36)</f>
        <v>5.4306936050593335E-2</v>
      </c>
    </row>
    <row r="1329" spans="2:11" x14ac:dyDescent="0.25">
      <c r="B1329" s="5" t="str">
        <f t="shared" si="777"/>
        <v>SPS3</v>
      </c>
      <c r="C1329" s="5" t="str">
        <f t="shared" si="790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4.67403961914368E-2</v>
      </c>
      <c r="K1329" s="1">
        <f>(K$36+K$716)/([1]Transport!G$22+[1]Transport!G$26)*K1325</f>
        <v>0.2723540292275477</v>
      </c>
    </row>
    <row r="1330" spans="2:11" x14ac:dyDescent="0.25">
      <c r="B1330" s="5" t="str">
        <f t="shared" si="777"/>
        <v>SPS3</v>
      </c>
      <c r="C1330" s="5" t="str">
        <f t="shared" si="790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3.5073950188980026E-2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3.5567655603458752E-2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8.6902260687663337E-4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1.4599091074459086E-3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0.26794425082307094</v>
      </c>
    </row>
    <row r="1331" spans="2:11" x14ac:dyDescent="0.25">
      <c r="B1331" s="5" t="str">
        <f t="shared" si="777"/>
        <v>SPS3</v>
      </c>
      <c r="C1331" s="5" t="str">
        <f t="shared" si="790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6.612679500313432E-4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1.2395755810012943E-3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1.2650799954745263E-3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1.1385271421127255E-3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6.2128866896382596E-4</v>
      </c>
    </row>
    <row r="1332" spans="2:11" x14ac:dyDescent="0.25">
      <c r="B1332" s="5" t="str">
        <f t="shared" ref="B1332:B1395" si="799">B1331</f>
        <v>SPS3</v>
      </c>
      <c r="C1332" s="5" t="str">
        <f t="shared" si="790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5.0230203663250345E-2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0.57764566915128923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0.56137929181015522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0.67483306632244011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3.3531548967439803E-2</v>
      </c>
    </row>
    <row r="1333" spans="2:11" x14ac:dyDescent="0.25">
      <c r="B1333" s="5" t="str">
        <f t="shared" si="799"/>
        <v>SPS3</v>
      </c>
      <c r="C1333" s="5" t="str">
        <f t="shared" si="790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2.4298516053091651E-5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5.7935598823963459E-5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3.1180500886834304E-5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1.0019784415639614E-4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5.8048640652291085E-6</v>
      </c>
    </row>
    <row r="1334" spans="2:11" x14ac:dyDescent="0.25">
      <c r="B1334" s="5" t="str">
        <f t="shared" si="799"/>
        <v>SPS3</v>
      </c>
      <c r="C1334" s="5" t="str">
        <f t="shared" si="790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1.7337719713854765E-2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1.7318135745736308E-2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1.7249556769874171E-2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799"/>
        <v>SPS3</v>
      </c>
      <c r="C1335" s="5" t="str">
        <f t="shared" si="790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2.8084522603748745E-4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0.22581716160854395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0.42452691656754071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4.0324376031669577E-5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1.1768557646385798E-6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25">
      <c r="B1336" s="5" t="str">
        <f t="shared" si="799"/>
        <v>SPS3</v>
      </c>
      <c r="C1336" s="5" t="str">
        <f t="shared" si="790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0.10906526446470043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0.13682641741655224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0.22312865479083777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25">
      <c r="B1337" s="5" t="str">
        <f t="shared" si="799"/>
        <v>SPS3</v>
      </c>
      <c r="C1337" s="5" t="str">
        <f t="shared" si="790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0.62229819776989237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0.87072249911591748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0.87224473651520151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0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2.653620634181763E-5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25">
      <c r="B1338" s="5" t="str">
        <f t="shared" si="799"/>
        <v>SPS3</v>
      </c>
      <c r="C1338" s="5" t="str">
        <f t="shared" si="790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4.2479012626017599E-3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2.4200560460533769E-4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3.7435747286770703E-4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3.1749160538271882E-5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799"/>
        <v>SPS3</v>
      </c>
      <c r="C1339" s="5" t="str">
        <f t="shared" si="790"/>
        <v>CH</v>
      </c>
      <c r="D1339" t="s">
        <v>1344</v>
      </c>
      <c r="E1339" t="s">
        <v>8</v>
      </c>
      <c r="F1339" s="1">
        <f>SUM(F1344:F1348)</f>
        <v>3.1547745994983434E-4</v>
      </c>
      <c r="G1339" s="1">
        <f t="shared" ref="G1339:K1339" si="800">SUM(G1344:G1348)</f>
        <v>1.855001084371384E-3</v>
      </c>
      <c r="H1339" s="1">
        <f t="shared" si="800"/>
        <v>1.9265744171358398E-2</v>
      </c>
      <c r="I1339" s="1">
        <f t="shared" si="800"/>
        <v>2.3145466048709092E-6</v>
      </c>
      <c r="J1339" s="1">
        <f t="shared" si="800"/>
        <v>1.2896904735694664E-5</v>
      </c>
      <c r="K1339" s="1">
        <f t="shared" si="800"/>
        <v>1.3262938566378231E-6</v>
      </c>
    </row>
    <row r="1340" spans="2:11" x14ac:dyDescent="0.25">
      <c r="B1340" s="5" t="str">
        <f t="shared" si="799"/>
        <v>SPS3</v>
      </c>
      <c r="C1340" s="5" t="str">
        <f t="shared" si="790"/>
        <v>CH</v>
      </c>
      <c r="D1340" t="s">
        <v>1345</v>
      </c>
      <c r="E1340" t="s">
        <v>8</v>
      </c>
      <c r="F1340" s="1">
        <f>F1339-F1341</f>
        <v>2.9171894616078964E-4</v>
      </c>
      <c r="G1340" s="1">
        <f t="shared" ref="G1340:K1340" si="801">G1339-G1341</f>
        <v>1.6775306273617691E-3</v>
      </c>
      <c r="H1340" s="1">
        <f t="shared" si="801"/>
        <v>1.742369512448036E-2</v>
      </c>
      <c r="I1340" s="1">
        <f t="shared" si="801"/>
        <v>1.9024554452715156E-6</v>
      </c>
      <c r="J1340" s="1">
        <f t="shared" si="801"/>
        <v>-9.629718773420719E-4</v>
      </c>
      <c r="K1340" s="1">
        <f t="shared" si="801"/>
        <v>1.3095141377007068E-6</v>
      </c>
    </row>
    <row r="1341" spans="2:11" x14ac:dyDescent="0.25">
      <c r="B1341" s="5" t="str">
        <f t="shared" si="799"/>
        <v>SPS3</v>
      </c>
      <c r="C1341" s="5" t="str">
        <f t="shared" si="790"/>
        <v>CH</v>
      </c>
      <c r="D1341" t="s">
        <v>1346</v>
      </c>
      <c r="E1341" t="s">
        <v>8</v>
      </c>
      <c r="F1341" s="1">
        <f>SUM(F1342:F1343)</f>
        <v>2.3758513789044697E-5</v>
      </c>
      <c r="G1341" s="1">
        <f t="shared" ref="G1341" si="802">SUM(G1342:G1343)</f>
        <v>1.7747045700961499E-4</v>
      </c>
      <c r="H1341" s="1">
        <f t="shared" ref="H1341" si="803">SUM(H1342:H1343)</f>
        <v>1.8420490468780367E-3</v>
      </c>
      <c r="I1341" s="1">
        <f t="shared" ref="I1341" si="804">SUM(I1342:I1343)</f>
        <v>4.120911595993936E-7</v>
      </c>
      <c r="J1341" s="1">
        <f t="shared" ref="J1341" si="805">SUM(J1342:J1343)</f>
        <v>9.7586878207776655E-4</v>
      </c>
      <c r="K1341" s="1">
        <f t="shared" ref="K1341" si="806">SUM(K1342:K1343)</f>
        <v>1.6779718937116263E-8</v>
      </c>
    </row>
    <row r="1342" spans="2:11" x14ac:dyDescent="0.25">
      <c r="B1342" s="5" t="str">
        <f t="shared" si="799"/>
        <v>SPS3</v>
      </c>
      <c r="C1342" s="5" t="str">
        <f t="shared" si="790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2.3758513789044697E-5</v>
      </c>
      <c r="G1342" s="1">
        <f>[1]Transport!C$27/SUM([1]Transport!C$24,[1]Transport!C$27)*G1339*(G$45+G$612)/(G$45+G$612+G$47)</f>
        <v>1.7747045700961499E-4</v>
      </c>
      <c r="H1342" s="1">
        <f>[1]Transport!D$27/SUM([1]Transport!D$24,[1]Transport!D$27)*H1339*(H$45+H$612)/(H$45+H$612+H$47)</f>
        <v>1.8420490468780367E-3</v>
      </c>
      <c r="I1342" s="1">
        <f>[1]Transport!E$27/SUM([1]Transport!E$24,[1]Transport!E$27)*I1339*(I$45+I$612)/(I$45+I$612+I$47)</f>
        <v>4.120911595993936E-7</v>
      </c>
      <c r="J1342" s="1">
        <f>[1]Transport!F$27/SUM([1]Transport!F$24,[1]Transport!F$27)*J1339*(J$45+J$612)/(J$45+J$612+J$47)</f>
        <v>9.2793649876758365E-8</v>
      </c>
      <c r="K1342" s="1">
        <f>[1]Transport!G$27/SUM([1]Transport!G$24,[1]Transport!G$27)*K1339*(K$45+K$612)/(K$45+K$612+K$47)</f>
        <v>9.6276793435165284E-9</v>
      </c>
    </row>
    <row r="1343" spans="2:11" x14ac:dyDescent="0.25">
      <c r="B1343" s="5" t="str">
        <f t="shared" si="799"/>
        <v>SPS3</v>
      </c>
      <c r="C1343" s="5" t="str">
        <f t="shared" si="790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9.7577598842788979E-4</v>
      </c>
      <c r="K1343" s="1">
        <f>(K$47+K$714)/([1]Transport!G$24+[1]Transport!G$27)*K1339</f>
        <v>7.1520395935997334E-9</v>
      </c>
    </row>
    <row r="1344" spans="2:11" x14ac:dyDescent="0.25">
      <c r="B1344" s="5" t="str">
        <f t="shared" si="799"/>
        <v>SPS3</v>
      </c>
      <c r="C1344" s="5" t="str">
        <f t="shared" si="790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3.1547745994983434E-4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3.1731273029864099E-4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3.1627710451336612E-4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799"/>
        <v>SPS3</v>
      </c>
      <c r="C1345" s="5" t="str">
        <f t="shared" si="790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6.8418877217771615E-4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2.3741624204491095E-3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2.3145466048709092E-6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2.1978596547319493E-6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1.3262938566378231E-6</v>
      </c>
    </row>
    <row r="1346" spans="2:11" x14ac:dyDescent="0.25">
      <c r="B1346" s="5" t="str">
        <f t="shared" si="799"/>
        <v>SPS3</v>
      </c>
      <c r="C1346" s="5" t="str">
        <f t="shared" si="790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4.5104305159843075E-4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1.5755526509018482E-2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0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25">
      <c r="B1347" s="5" t="str">
        <f t="shared" si="799"/>
        <v>SPS3</v>
      </c>
      <c r="C1347" s="5" t="str">
        <f t="shared" si="790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3.9124159529672057E-4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7.7550978097974427E-4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1.0699045080962714E-5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</v>
      </c>
    </row>
    <row r="1348" spans="2:11" x14ac:dyDescent="0.25">
      <c r="B1348" s="5" t="str">
        <f t="shared" si="799"/>
        <v>SPS3</v>
      </c>
      <c r="C1348" s="5" t="str">
        <f t="shared" si="790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1.1214934999875511E-5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4.4268356397694584E-5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 t="shared" si="799"/>
        <v>SPS3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0.29541908533262934</v>
      </c>
      <c r="G1349" s="3">
        <f t="shared" ref="G1349:K1349" si="807">SUM(G1350:G1372)</f>
        <v>0.30245322943642122</v>
      </c>
      <c r="H1349" s="3">
        <f t="shared" si="807"/>
        <v>0.3091014042204755</v>
      </c>
      <c r="I1349" s="3">
        <f t="shared" si="807"/>
        <v>0.32280242502800921</v>
      </c>
      <c r="J1349" s="3">
        <f t="shared" si="807"/>
        <v>0.35122893905777364</v>
      </c>
      <c r="K1349" s="3">
        <f t="shared" si="807"/>
        <v>0.37570652879500538</v>
      </c>
    </row>
    <row r="1350" spans="2:11" x14ac:dyDescent="0.25">
      <c r="B1350" s="5" t="str">
        <f t="shared" si="799"/>
        <v>SPS3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1.985774318546752E-3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1.6092464812316935E-3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1.0045695648496053E-3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si="799"/>
        <v>SPS3</v>
      </c>
      <c r="C1351" s="5" t="str">
        <f t="shared" ref="C1351:C1372" si="808">C1350</f>
        <v>CH</v>
      </c>
      <c r="D1351" t="s">
        <v>1351</v>
      </c>
      <c r="E1351" t="str">
        <f t="shared" ref="E1351:E1372" si="809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1.3660662028333562E-7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3.7976136153539044E-4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8.0007317546470331E-4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0.10961515241519508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0.11882560669975993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5.7581588849649076E-2</v>
      </c>
    </row>
    <row r="1352" spans="2:11" x14ac:dyDescent="0.25">
      <c r="B1352" s="5" t="str">
        <f t="shared" si="799"/>
        <v>SPS3</v>
      </c>
      <c r="C1352" s="5" t="str">
        <f t="shared" si="808"/>
        <v>CH</v>
      </c>
      <c r="D1352" t="s">
        <v>1352</v>
      </c>
      <c r="E1352" t="str">
        <f t="shared" si="809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3.271351275042424E-4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5.847862686069738E-4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9.1955761584882256E-4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3.9451000346049016E-2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4.278655365331429E-2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4.5794275186677558E-2</v>
      </c>
    </row>
    <row r="1353" spans="2:11" x14ac:dyDescent="0.25">
      <c r="B1353" s="5" t="str">
        <f t="shared" si="799"/>
        <v>SPS3</v>
      </c>
      <c r="C1353" s="5" t="str">
        <f t="shared" si="808"/>
        <v>CH</v>
      </c>
      <c r="D1353" t="s">
        <v>1353</v>
      </c>
      <c r="E1353" t="str">
        <f t="shared" si="809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6.8598960085252889E-4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1.0220325074117719E-3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1.1711203967401124E-3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0.1266651340518499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0.12446722065286986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0.19797432297927597</v>
      </c>
    </row>
    <row r="1354" spans="2:11" x14ac:dyDescent="0.25">
      <c r="B1354" s="5" t="str">
        <f t="shared" si="799"/>
        <v>SPS3</v>
      </c>
      <c r="C1354" s="5" t="str">
        <f t="shared" si="808"/>
        <v>CH</v>
      </c>
      <c r="D1354" t="s">
        <v>1354</v>
      </c>
      <c r="E1354" t="str">
        <f t="shared" si="809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2.7833591401571723E-5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3.1068558355254455E-5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5.5214521826646899E-5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2.6085357283782409E-5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2.7169417604162493E-5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1.0508446055151555E-5</v>
      </c>
    </row>
    <row r="1355" spans="2:11" x14ac:dyDescent="0.25">
      <c r="B1355" s="5" t="str">
        <f t="shared" si="799"/>
        <v>SPS3</v>
      </c>
      <c r="C1355" s="5" t="str">
        <f t="shared" si="808"/>
        <v>CH</v>
      </c>
      <c r="D1355" t="s">
        <v>1355</v>
      </c>
      <c r="E1355" t="str">
        <f t="shared" si="809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6.4191775120524253E-5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3.8805485671967262E-4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1.0020945801322474E-2</v>
      </c>
    </row>
    <row r="1356" spans="2:11" x14ac:dyDescent="0.25">
      <c r="B1356" s="5" t="str">
        <f t="shared" si="799"/>
        <v>SPS3</v>
      </c>
      <c r="C1356" s="5" t="str">
        <f t="shared" si="808"/>
        <v>CH</v>
      </c>
      <c r="D1356" t="s">
        <v>1356</v>
      </c>
      <c r="E1356" t="str">
        <f t="shared" si="809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4.4833688140303186E-5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1.9341769757415857E-4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2.6057053814567522E-4</v>
      </c>
    </row>
    <row r="1357" spans="2:11" x14ac:dyDescent="0.25">
      <c r="B1357" s="5" t="str">
        <f t="shared" si="799"/>
        <v>SPS3</v>
      </c>
      <c r="C1357" s="5" t="str">
        <f t="shared" si="808"/>
        <v>CH</v>
      </c>
      <c r="D1357" t="s">
        <v>1357</v>
      </c>
      <c r="E1357" t="str">
        <f t="shared" si="809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5.6404821176839844E-4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3.0996014334254315E-4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3.9516073323481399E-4</v>
      </c>
    </row>
    <row r="1358" spans="2:11" x14ac:dyDescent="0.25">
      <c r="B1358" s="5" t="str">
        <f t="shared" si="799"/>
        <v>SPS3</v>
      </c>
      <c r="C1358" s="5" t="str">
        <f t="shared" si="808"/>
        <v>CH</v>
      </c>
      <c r="D1358" t="s">
        <v>1358</v>
      </c>
      <c r="E1358" t="str">
        <f t="shared" si="809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8.9588652657388071E-7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3.6854127130918448E-6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5.2232731719497232E-7</v>
      </c>
    </row>
    <row r="1359" spans="2:11" x14ac:dyDescent="0.25">
      <c r="B1359" s="5" t="str">
        <f t="shared" si="799"/>
        <v>SPS3</v>
      </c>
      <c r="C1359" s="5" t="str">
        <f t="shared" si="808"/>
        <v>CH</v>
      </c>
      <c r="D1359" t="s">
        <v>1359</v>
      </c>
      <c r="E1359" t="str">
        <f t="shared" si="809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5.699997407913179E-3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5.784485402282223E-3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1.5104904179462231E-4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2.9138209265214824E-4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6.025959458283428E-2</v>
      </c>
    </row>
    <row r="1360" spans="2:11" x14ac:dyDescent="0.25">
      <c r="B1360" s="5" t="str">
        <f t="shared" si="799"/>
        <v>SPS3</v>
      </c>
      <c r="C1360" s="5" t="str">
        <f t="shared" si="808"/>
        <v>CH</v>
      </c>
      <c r="D1360" t="s">
        <v>1360</v>
      </c>
      <c r="E1360" t="str">
        <f t="shared" si="809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7.703370516363112E-5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1.4775731140468382E-4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1.561094312621304E-4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1.6209545266535321E-4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9.4551062722371306E-5</v>
      </c>
    </row>
    <row r="1361" spans="2:11" x14ac:dyDescent="0.25">
      <c r="B1361" s="5" t="str">
        <f t="shared" si="799"/>
        <v>SPS3</v>
      </c>
      <c r="C1361" s="5" t="str">
        <f t="shared" si="808"/>
        <v>CH</v>
      </c>
      <c r="D1361" t="s">
        <v>1361</v>
      </c>
      <c r="E1361" t="str">
        <f t="shared" si="809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3.9298015824698563E-3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4.7284775864959501E-2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4.6056837106443982E-2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6.3762452754127161E-2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3.3138390809296261E-3</v>
      </c>
    </row>
    <row r="1362" spans="2:11" x14ac:dyDescent="0.25">
      <c r="B1362" s="5" t="str">
        <f t="shared" si="799"/>
        <v>SPS3</v>
      </c>
      <c r="C1362" s="5" t="str">
        <f t="shared" si="808"/>
        <v>CH</v>
      </c>
      <c r="D1362" t="s">
        <v>1362</v>
      </c>
      <c r="E1362" t="str">
        <f t="shared" si="809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1.2817817075450473E-6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3.1188530796619394E-6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1.7719498156954612E-6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6.5214120389937795E-6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4.2628253152038374E-7</v>
      </c>
    </row>
    <row r="1363" spans="2:11" x14ac:dyDescent="0.25">
      <c r="B1363" s="5" t="str">
        <f t="shared" si="799"/>
        <v>SPS3</v>
      </c>
      <c r="C1363" s="5" t="str">
        <f t="shared" si="808"/>
        <v>CH</v>
      </c>
      <c r="D1363" t="s">
        <v>2002</v>
      </c>
      <c r="E1363" t="str">
        <f t="shared" si="809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0.24218507100703562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0.19378295184576452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0.12110862544906456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799"/>
        <v>SPS3</v>
      </c>
      <c r="C1364" s="5" t="str">
        <f t="shared" si="808"/>
        <v>CH</v>
      </c>
      <c r="D1364" t="s">
        <v>1363</v>
      </c>
      <c r="E1364" t="str">
        <f t="shared" si="809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3.4802106602975921E-5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2.9019733638281472E-2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5.592674942186783E-2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4.9969631072358977E-6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1.9156311349101311E-7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25">
      <c r="B1365" s="5" t="str">
        <f t="shared" si="799"/>
        <v>SPS3</v>
      </c>
      <c r="C1365" s="5" t="str">
        <f t="shared" si="808"/>
        <v>CH</v>
      </c>
      <c r="D1365" t="s">
        <v>1364</v>
      </c>
      <c r="E1365" t="str">
        <f t="shared" si="809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9.5394857985544573E-3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1.2016991372956514E-2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2.022458319309637E-2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0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25">
      <c r="B1366" s="5" t="str">
        <f t="shared" si="799"/>
        <v>SPS3</v>
      </c>
      <c r="C1366" s="5" t="str">
        <f t="shared" si="808"/>
        <v>CH</v>
      </c>
      <c r="D1366" t="s">
        <v>1365</v>
      </c>
      <c r="E1366" t="str">
        <f t="shared" si="809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3.6061886827645176E-2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5.0596253701339813E-2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5.0688928898041045E-2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1.9357655010820053E-6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25">
      <c r="B1367" s="5" t="str">
        <f t="shared" si="799"/>
        <v>SPS3</v>
      </c>
      <c r="C1367" s="5" t="str">
        <f t="shared" si="808"/>
        <v>CH</v>
      </c>
      <c r="D1367" t="s">
        <v>1366</v>
      </c>
      <c r="E1367" t="str">
        <f t="shared" si="809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1.6416643708297755E-4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9.412635146082837E-6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1.4671446905418382E-5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1.5962257873547227E-6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799"/>
        <v>SPS3</v>
      </c>
      <c r="C1368" s="5" t="str">
        <f t="shared" si="808"/>
        <v>CH</v>
      </c>
      <c r="D1368" t="s">
        <v>2006</v>
      </c>
      <c r="E1368" t="str">
        <f t="shared" si="809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4.4068039107827217E-3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3.5497762688867962E-3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2.21851598266127E-3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799"/>
        <v>SPS3</v>
      </c>
      <c r="C1369" s="5" t="str">
        <f t="shared" si="808"/>
        <v>CH</v>
      </c>
      <c r="D1369" t="s">
        <v>1367</v>
      </c>
      <c r="E1369" t="str">
        <f t="shared" si="809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8.2265161006401123E-5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2.9560195069921579E-4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3.1880365191078348E-7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3.3607446601690055E-7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2.2292430971390986E-7</v>
      </c>
    </row>
    <row r="1370" spans="2:11" x14ac:dyDescent="0.25">
      <c r="B1370" s="5" t="str">
        <f t="shared" si="799"/>
        <v>SPS3</v>
      </c>
      <c r="C1370" s="5" t="str">
        <f t="shared" si="808"/>
        <v>CH</v>
      </c>
      <c r="D1370" t="s">
        <v>1368</v>
      </c>
      <c r="E1370" t="str">
        <f t="shared" si="809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3.8337791684402919E-5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1.4065343373389392E-3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0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25">
      <c r="B1371" s="5" t="str">
        <f t="shared" si="799"/>
        <v>SPS3</v>
      </c>
      <c r="C1371" s="5" t="str">
        <f t="shared" si="808"/>
        <v>CH</v>
      </c>
      <c r="D1371" t="s">
        <v>1369</v>
      </c>
      <c r="E1371" t="str">
        <f t="shared" si="809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2.2074685505418898E-5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4.4798741281236284E-5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0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7.5918352420935428E-7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0</v>
      </c>
    </row>
    <row r="1372" spans="2:11" x14ac:dyDescent="0.25">
      <c r="B1372" s="5" t="str">
        <f t="shared" si="799"/>
        <v>SPS3</v>
      </c>
      <c r="C1372" s="5" t="str">
        <f t="shared" si="808"/>
        <v>CH</v>
      </c>
      <c r="D1372" t="s">
        <v>1370</v>
      </c>
      <c r="E1372" t="str">
        <f t="shared" si="809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4.2268145447659606E-7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1.7220930636665575E-6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 t="shared" si="799"/>
        <v>SPS3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si="799"/>
        <v>SPS3</v>
      </c>
      <c r="C1374" s="5" t="str">
        <f t="shared" ref="C1374:C1396" si="810">C1373</f>
        <v>CH</v>
      </c>
      <c r="D1374" t="s">
        <v>1372</v>
      </c>
      <c r="E1374" t="s">
        <v>1230</v>
      </c>
      <c r="F1374" s="1">
        <f>IFERROR(F1350/F1315,"-")</f>
        <v>4.1906042144660294</v>
      </c>
      <c r="G1374" s="1">
        <f t="shared" ref="G1374:K1374" si="811">IFERROR(G1350/G1315,"-")</f>
        <v>3.3737507326839382</v>
      </c>
      <c r="H1374" s="1">
        <f t="shared" si="811"/>
        <v>2.1484705100107937</v>
      </c>
      <c r="I1374" s="1" t="str">
        <f t="shared" si="811"/>
        <v>-</v>
      </c>
      <c r="J1374" s="1" t="str">
        <f t="shared" si="811"/>
        <v>-</v>
      </c>
      <c r="K1374" s="1" t="str">
        <f t="shared" si="811"/>
        <v>-</v>
      </c>
    </row>
    <row r="1375" spans="2:11" x14ac:dyDescent="0.25">
      <c r="B1375" s="5" t="str">
        <f t="shared" si="799"/>
        <v>SPS3</v>
      </c>
      <c r="C1375" s="5" t="str">
        <f t="shared" si="810"/>
        <v>CH</v>
      </c>
      <c r="D1375" t="s">
        <v>1373</v>
      </c>
      <c r="E1375" t="s">
        <v>1230</v>
      </c>
      <c r="F1375" s="1">
        <f t="shared" ref="F1375:K1375" si="812">IFERROR(F1351/F1316,"-")</f>
        <v>0.37869321701871828</v>
      </c>
      <c r="G1375" s="1">
        <f t="shared" si="812"/>
        <v>0.39241780038101964</v>
      </c>
      <c r="H1375" s="1">
        <f t="shared" si="812"/>
        <v>0.40309825699584356</v>
      </c>
      <c r="I1375" s="1">
        <f t="shared" si="812"/>
        <v>0.44726686090506146</v>
      </c>
      <c r="J1375" s="1">
        <f t="shared" si="812"/>
        <v>0.47219089589587165</v>
      </c>
      <c r="K1375" s="1">
        <f t="shared" si="812"/>
        <v>0.5132080271191054</v>
      </c>
    </row>
    <row r="1376" spans="2:11" x14ac:dyDescent="0.25">
      <c r="B1376" s="5" t="str">
        <f t="shared" si="799"/>
        <v>SPS3</v>
      </c>
      <c r="C1376" s="5" t="str">
        <f t="shared" si="810"/>
        <v>CH</v>
      </c>
      <c r="D1376" t="s">
        <v>1374</v>
      </c>
      <c r="E1376" t="s">
        <v>1230</v>
      </c>
      <c r="F1376" s="1">
        <f t="shared" ref="F1376:K1376" si="813">IFERROR(F1352/F1317,"-")</f>
        <v>0.27518070496490699</v>
      </c>
      <c r="G1376" s="1">
        <f t="shared" si="813"/>
        <v>0.27792691667406927</v>
      </c>
      <c r="H1376" s="1">
        <f t="shared" si="813"/>
        <v>0.28539548837037948</v>
      </c>
      <c r="I1376" s="1">
        <f t="shared" si="813"/>
        <v>0.32383580801230227</v>
      </c>
      <c r="J1376" s="1">
        <f t="shared" si="813"/>
        <v>0.34344763776131759</v>
      </c>
      <c r="K1376" s="1">
        <f t="shared" si="813"/>
        <v>0.38208191837493694</v>
      </c>
    </row>
    <row r="1377" spans="2:11" x14ac:dyDescent="0.25">
      <c r="B1377" s="5" t="str">
        <f t="shared" si="799"/>
        <v>SPS3</v>
      </c>
      <c r="C1377" s="5" t="str">
        <f t="shared" si="810"/>
        <v>CH</v>
      </c>
      <c r="D1377" t="s">
        <v>1375</v>
      </c>
      <c r="E1377" t="s">
        <v>1230</v>
      </c>
      <c r="F1377" s="1">
        <f t="shared" ref="F1377:K1377" si="814">IFERROR(F1353/F1318,"-")</f>
        <v>0.18297040713439902</v>
      </c>
      <c r="G1377" s="1">
        <f t="shared" si="814"/>
        <v>0.18555044212079683</v>
      </c>
      <c r="H1377" s="1">
        <f t="shared" si="814"/>
        <v>0.18717311991789515</v>
      </c>
      <c r="I1377" s="1">
        <f t="shared" si="814"/>
        <v>0.21584747743438995</v>
      </c>
      <c r="J1377" s="1">
        <f t="shared" si="814"/>
        <v>0.23617698438767923</v>
      </c>
      <c r="K1377" s="1">
        <f t="shared" si="814"/>
        <v>0.25808107354633802</v>
      </c>
    </row>
    <row r="1378" spans="2:11" x14ac:dyDescent="0.25">
      <c r="B1378" s="5" t="str">
        <f t="shared" si="799"/>
        <v>SPS3</v>
      </c>
      <c r="C1378" s="5" t="str">
        <f t="shared" si="810"/>
        <v>CH</v>
      </c>
      <c r="D1378" t="s">
        <v>1376</v>
      </c>
      <c r="E1378" t="s">
        <v>1230</v>
      </c>
      <c r="F1378" s="1">
        <f t="shared" ref="F1378:K1378" si="815">IFERROR(F1354/F1319,"-")</f>
        <v>0.12198710645807116</v>
      </c>
      <c r="G1378" s="1">
        <f t="shared" si="815"/>
        <v>0.1240800544844657</v>
      </c>
      <c r="H1378" s="1">
        <f t="shared" si="815"/>
        <v>0.12699535408717916</v>
      </c>
      <c r="I1378" s="1">
        <f t="shared" si="815"/>
        <v>0.13806790286472209</v>
      </c>
      <c r="J1378" s="1">
        <f t="shared" si="815"/>
        <v>0.15701695575745306</v>
      </c>
      <c r="K1378" s="1">
        <f t="shared" si="815"/>
        <v>0.16923815210710275</v>
      </c>
    </row>
    <row r="1379" spans="2:11" x14ac:dyDescent="0.25">
      <c r="B1379" s="5" t="str">
        <f t="shared" si="799"/>
        <v>SPS3</v>
      </c>
      <c r="C1379" s="5" t="str">
        <f t="shared" si="810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16">IFERROR(G1355/G1321,"-")</f>
        <v>-</v>
      </c>
      <c r="H1379" s="1" t="str">
        <f t="shared" si="816"/>
        <v>-</v>
      </c>
      <c r="I1379" s="1">
        <f t="shared" si="816"/>
        <v>0.23440176174444102</v>
      </c>
      <c r="J1379" s="1">
        <f t="shared" si="816"/>
        <v>0.26057874722930674</v>
      </c>
      <c r="K1379" s="1">
        <f t="shared" si="816"/>
        <v>0.30279260523214674</v>
      </c>
    </row>
    <row r="1380" spans="2:11" x14ac:dyDescent="0.25">
      <c r="B1380" s="5" t="str">
        <f t="shared" si="799"/>
        <v>SPS3</v>
      </c>
      <c r="C1380" s="5" t="str">
        <f t="shared" si="810"/>
        <v>CH</v>
      </c>
      <c r="D1380" t="s">
        <v>1378</v>
      </c>
      <c r="E1380" t="s">
        <v>1230</v>
      </c>
      <c r="F1380" s="1" t="str">
        <f t="shared" ref="F1380:K1380" si="817">IFERROR(F1356/F1322,"-")</f>
        <v>-</v>
      </c>
      <c r="G1380" s="1" t="str">
        <f t="shared" si="817"/>
        <v>-</v>
      </c>
      <c r="H1380" s="1" t="str">
        <f t="shared" si="817"/>
        <v>-</v>
      </c>
      <c r="I1380" s="1">
        <f t="shared" si="817"/>
        <v>0.16910151451049601</v>
      </c>
      <c r="J1380" s="1">
        <f t="shared" si="817"/>
        <v>0.18664402307949934</v>
      </c>
      <c r="K1380" s="1">
        <f t="shared" si="817"/>
        <v>0.21129352749849312</v>
      </c>
    </row>
    <row r="1381" spans="2:11" x14ac:dyDescent="0.25">
      <c r="B1381" s="5" t="str">
        <f t="shared" si="799"/>
        <v>SPS3</v>
      </c>
      <c r="C1381" s="5" t="str">
        <f t="shared" si="810"/>
        <v>CH</v>
      </c>
      <c r="D1381" t="s">
        <v>1379</v>
      </c>
      <c r="E1381" t="s">
        <v>1230</v>
      </c>
      <c r="F1381" s="1" t="str">
        <f t="shared" ref="F1381:K1381" si="818">IFERROR(F1357/F1323,"-")</f>
        <v>-</v>
      </c>
      <c r="G1381" s="1" t="str">
        <f t="shared" si="818"/>
        <v>-</v>
      </c>
      <c r="H1381" s="1" t="str">
        <f t="shared" si="818"/>
        <v>-</v>
      </c>
      <c r="I1381" s="1">
        <f t="shared" si="818"/>
        <v>0.11310839137372306</v>
      </c>
      <c r="J1381" s="1">
        <f t="shared" si="818"/>
        <v>0.12544723774210029</v>
      </c>
      <c r="K1381" s="1">
        <f t="shared" si="818"/>
        <v>0.14414294282739312</v>
      </c>
    </row>
    <row r="1382" spans="2:11" x14ac:dyDescent="0.25">
      <c r="B1382" s="5" t="str">
        <f t="shared" si="799"/>
        <v>SPS3</v>
      </c>
      <c r="C1382" s="5" t="str">
        <f t="shared" si="810"/>
        <v>CH</v>
      </c>
      <c r="D1382" t="s">
        <v>1380</v>
      </c>
      <c r="E1382" t="s">
        <v>1230</v>
      </c>
      <c r="F1382" s="1" t="str">
        <f t="shared" ref="F1382:K1382" si="819">IFERROR(F1358/F1324,"-")</f>
        <v>-</v>
      </c>
      <c r="G1382" s="1" t="str">
        <f t="shared" si="819"/>
        <v>-</v>
      </c>
      <c r="H1382" s="1" t="str">
        <f t="shared" si="819"/>
        <v>-</v>
      </c>
      <c r="I1382" s="1">
        <f t="shared" si="819"/>
        <v>7.5896650184428829E-2</v>
      </c>
      <c r="J1382" s="1">
        <f t="shared" si="819"/>
        <v>8.4000675157884022E-2</v>
      </c>
      <c r="K1382" s="1">
        <f t="shared" si="819"/>
        <v>9.8453735287482594E-2</v>
      </c>
    </row>
    <row r="1383" spans="2:11" x14ac:dyDescent="0.25">
      <c r="B1383" s="5" t="str">
        <f t="shared" si="799"/>
        <v>SPS3</v>
      </c>
      <c r="C1383" s="5" t="str">
        <f t="shared" si="810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20">IFERROR(G1359/G1330,"-")</f>
        <v>0.16251369968883847</v>
      </c>
      <c r="H1383" s="1">
        <f t="shared" si="820"/>
        <v>0.16263330557327244</v>
      </c>
      <c r="I1383" s="1">
        <f t="shared" si="820"/>
        <v>0.17381485889936724</v>
      </c>
      <c r="J1383" s="1">
        <f t="shared" si="820"/>
        <v>0.19958920124960197</v>
      </c>
      <c r="K1383" s="1">
        <f t="shared" si="820"/>
        <v>0.22489601623370872</v>
      </c>
    </row>
    <row r="1384" spans="2:11" x14ac:dyDescent="0.25">
      <c r="B1384" s="5" t="str">
        <f t="shared" si="799"/>
        <v>SPS3</v>
      </c>
      <c r="C1384" s="5" t="str">
        <f t="shared" si="810"/>
        <v>CH</v>
      </c>
      <c r="D1384" t="s">
        <v>1382</v>
      </c>
      <c r="E1384" t="s">
        <v>1230</v>
      </c>
      <c r="F1384" s="1" t="str">
        <f t="shared" ref="F1384:K1384" si="821">IFERROR(F1360/F1331,"-")</f>
        <v>-</v>
      </c>
      <c r="G1384" s="1">
        <f t="shared" si="821"/>
        <v>0.11649393435744138</v>
      </c>
      <c r="H1384" s="1">
        <f t="shared" si="821"/>
        <v>0.11919992106115032</v>
      </c>
      <c r="I1384" s="1">
        <f t="shared" si="821"/>
        <v>0.12339886159023042</v>
      </c>
      <c r="J1384" s="1">
        <f t="shared" si="821"/>
        <v>0.14237293663861036</v>
      </c>
      <c r="K1384" s="1">
        <f t="shared" si="821"/>
        <v>0.15218539697506775</v>
      </c>
    </row>
    <row r="1385" spans="2:11" x14ac:dyDescent="0.25">
      <c r="B1385" s="5" t="str">
        <f t="shared" si="799"/>
        <v>SPS3</v>
      </c>
      <c r="C1385" s="5" t="str">
        <f t="shared" si="810"/>
        <v>CH</v>
      </c>
      <c r="D1385" t="s">
        <v>1383</v>
      </c>
      <c r="E1385" t="s">
        <v>1230</v>
      </c>
      <c r="F1385" s="1" t="str">
        <f t="shared" ref="F1385:K1385" si="822">IFERROR(F1361/F1332,"-")</f>
        <v>-</v>
      </c>
      <c r="G1385" s="1">
        <f t="shared" si="822"/>
        <v>7.8235828164578913E-2</v>
      </c>
      <c r="H1385" s="1">
        <f t="shared" si="822"/>
        <v>8.1857751888684729E-2</v>
      </c>
      <c r="I1385" s="1">
        <f t="shared" si="822"/>
        <v>8.204228010964694E-2</v>
      </c>
      <c r="J1385" s="1">
        <f t="shared" si="822"/>
        <v>9.4486260285978632E-2</v>
      </c>
      <c r="K1385" s="1">
        <f t="shared" si="822"/>
        <v>9.8827497773737477E-2</v>
      </c>
    </row>
    <row r="1386" spans="2:11" x14ac:dyDescent="0.25">
      <c r="B1386" s="5" t="str">
        <f t="shared" si="799"/>
        <v>SPS3</v>
      </c>
      <c r="C1386" s="5" t="str">
        <f t="shared" si="810"/>
        <v>CH</v>
      </c>
      <c r="D1386" t="s">
        <v>1384</v>
      </c>
      <c r="E1386" t="s">
        <v>1230</v>
      </c>
      <c r="F1386" s="1" t="str">
        <f t="shared" ref="F1386:K1386" si="823">IFERROR(F1362/F1333,"-")</f>
        <v>-</v>
      </c>
      <c r="G1386" s="1">
        <f t="shared" si="823"/>
        <v>5.2751439830497723E-2</v>
      </c>
      <c r="H1386" s="1">
        <f t="shared" si="823"/>
        <v>5.3833103359102796E-2</v>
      </c>
      <c r="I1386" s="1">
        <f t="shared" si="823"/>
        <v>5.6828779695570944E-2</v>
      </c>
      <c r="J1386" s="1">
        <f t="shared" si="823"/>
        <v>6.5085352822708262E-2</v>
      </c>
      <c r="K1386" s="1">
        <f t="shared" si="823"/>
        <v>7.3435402919044768E-2</v>
      </c>
    </row>
    <row r="1387" spans="2:11" x14ac:dyDescent="0.25">
      <c r="B1387" s="5" t="str">
        <f t="shared" si="799"/>
        <v>SPS3</v>
      </c>
      <c r="C1387" s="5" t="str">
        <f t="shared" si="810"/>
        <v>CH</v>
      </c>
      <c r="D1387" t="s">
        <v>2003</v>
      </c>
      <c r="E1387" t="s">
        <v>1230</v>
      </c>
      <c r="F1387" s="1">
        <f>IFERROR(F1363/F1334,"-")</f>
        <v>13.968680714886792</v>
      </c>
      <c r="G1387" s="1">
        <f t="shared" ref="G1387:K1387" si="824">IFERROR(G1363/G1334,"-")</f>
        <v>11.189596541502656</v>
      </c>
      <c r="H1387" s="1">
        <f t="shared" si="824"/>
        <v>7.0209702814264254</v>
      </c>
      <c r="I1387" s="1" t="str">
        <f t="shared" si="824"/>
        <v>-</v>
      </c>
      <c r="J1387" s="1" t="str">
        <f t="shared" si="824"/>
        <v>-</v>
      </c>
      <c r="K1387" s="1" t="str">
        <f t="shared" si="824"/>
        <v>-</v>
      </c>
    </row>
    <row r="1388" spans="2:11" x14ac:dyDescent="0.25">
      <c r="B1388" s="5" t="str">
        <f t="shared" si="799"/>
        <v>SPS3</v>
      </c>
      <c r="C1388" s="5" t="str">
        <f t="shared" si="810"/>
        <v>CH</v>
      </c>
      <c r="D1388" t="s">
        <v>1385</v>
      </c>
      <c r="E1388" t="s">
        <v>1230</v>
      </c>
      <c r="F1388" s="1">
        <f t="shared" ref="F1388:K1388" si="825">IFERROR(F1364/F1335,"-")</f>
        <v>0.12391916748597502</v>
      </c>
      <c r="G1388" s="1">
        <f t="shared" si="825"/>
        <v>0.12850986803468656</v>
      </c>
      <c r="H1388" s="1">
        <f t="shared" si="825"/>
        <v>0.13173899519506693</v>
      </c>
      <c r="I1388" s="1">
        <f t="shared" si="825"/>
        <v>0.12391916748597499</v>
      </c>
      <c r="J1388" s="1">
        <f t="shared" si="825"/>
        <v>0.16277535382583047</v>
      </c>
      <c r="K1388" s="1" t="str">
        <f t="shared" si="825"/>
        <v>-</v>
      </c>
    </row>
    <row r="1389" spans="2:11" x14ac:dyDescent="0.25">
      <c r="B1389" s="5" t="str">
        <f t="shared" si="799"/>
        <v>SPS3</v>
      </c>
      <c r="C1389" s="5" t="str">
        <f t="shared" si="810"/>
        <v>CH</v>
      </c>
      <c r="D1389" t="s">
        <v>1386</v>
      </c>
      <c r="E1389" t="s">
        <v>1230</v>
      </c>
      <c r="F1389" s="1">
        <f t="shared" ref="F1389:K1389" si="826">IFERROR(F1365/F1336,"-")</f>
        <v>8.7465847585616638E-2</v>
      </c>
      <c r="G1389" s="1">
        <f t="shared" si="826"/>
        <v>8.7826544024551714E-2</v>
      </c>
      <c r="H1389" s="1">
        <f t="shared" si="826"/>
        <v>9.0640904961556926E-2</v>
      </c>
      <c r="I1389" s="1" t="str">
        <f t="shared" si="826"/>
        <v>-</v>
      </c>
      <c r="J1389" s="1" t="str">
        <f t="shared" si="826"/>
        <v>-</v>
      </c>
      <c r="K1389" s="1" t="str">
        <f t="shared" si="826"/>
        <v>-</v>
      </c>
    </row>
    <row r="1390" spans="2:11" x14ac:dyDescent="0.25">
      <c r="B1390" s="5" t="str">
        <f t="shared" si="799"/>
        <v>SPS3</v>
      </c>
      <c r="C1390" s="5" t="str">
        <f t="shared" si="810"/>
        <v>CH</v>
      </c>
      <c r="D1390" t="s">
        <v>1387</v>
      </c>
      <c r="E1390" t="s">
        <v>1230</v>
      </c>
      <c r="F1390" s="1">
        <f t="shared" ref="F1390:K1390" si="827">IFERROR(F1366/F1337,"-")</f>
        <v>5.794952798654867E-2</v>
      </c>
      <c r="G1390" s="1">
        <f t="shared" si="827"/>
        <v>5.8108356856188273E-2</v>
      </c>
      <c r="H1390" s="1">
        <f t="shared" si="827"/>
        <v>5.8113195501246384E-2</v>
      </c>
      <c r="I1390" s="1" t="str">
        <f t="shared" si="827"/>
        <v>-</v>
      </c>
      <c r="J1390" s="1">
        <f t="shared" si="827"/>
        <v>7.2948087460093694E-2</v>
      </c>
      <c r="K1390" s="1" t="str">
        <f t="shared" si="827"/>
        <v>-</v>
      </c>
    </row>
    <row r="1391" spans="2:11" x14ac:dyDescent="0.25">
      <c r="B1391" s="5" t="str">
        <f t="shared" si="799"/>
        <v>SPS3</v>
      </c>
      <c r="C1391" s="5" t="str">
        <f t="shared" si="810"/>
        <v>CH</v>
      </c>
      <c r="D1391" t="s">
        <v>1388</v>
      </c>
      <c r="E1391" t="s">
        <v>1230</v>
      </c>
      <c r="F1391" s="1">
        <f t="shared" ref="F1391:K1391" si="828">IFERROR(F1367/F1338,"-")</f>
        <v>3.864648138794749E-2</v>
      </c>
      <c r="G1391" s="1">
        <f t="shared" si="828"/>
        <v>3.8894285780831171E-2</v>
      </c>
      <c r="H1391" s="1">
        <f t="shared" si="828"/>
        <v>3.9191008511276805E-2</v>
      </c>
      <c r="I1391" s="1" t="str">
        <f t="shared" si="828"/>
        <v>-</v>
      </c>
      <c r="J1391" s="1">
        <f t="shared" si="828"/>
        <v>5.0276157236679046E-2</v>
      </c>
      <c r="K1391" s="1" t="str">
        <f t="shared" si="828"/>
        <v>-</v>
      </c>
    </row>
    <row r="1392" spans="2:11" x14ac:dyDescent="0.25">
      <c r="B1392" s="5" t="str">
        <f t="shared" si="799"/>
        <v>SPS3</v>
      </c>
      <c r="C1392" s="5" t="str">
        <f t="shared" si="810"/>
        <v>CH</v>
      </c>
      <c r="D1392" t="s">
        <v>2007</v>
      </c>
      <c r="E1392" t="s">
        <v>1230</v>
      </c>
      <c r="F1392" s="1">
        <f>IFERROR(F1368/F1344,"-")</f>
        <v>13.968680714886794</v>
      </c>
      <c r="G1392" s="1">
        <f t="shared" ref="G1392:K1392" si="829">IFERROR(G1368/G1344,"-")</f>
        <v>11.186996076539067</v>
      </c>
      <c r="H1392" s="1">
        <f t="shared" si="829"/>
        <v>7.0144691190174777</v>
      </c>
      <c r="I1392" s="1" t="str">
        <f t="shared" si="829"/>
        <v>-</v>
      </c>
      <c r="J1392" s="1" t="str">
        <f t="shared" si="829"/>
        <v>-</v>
      </c>
      <c r="K1392" s="1" t="str">
        <f t="shared" si="829"/>
        <v>-</v>
      </c>
    </row>
    <row r="1393" spans="2:11" x14ac:dyDescent="0.25">
      <c r="B1393" s="5" t="str">
        <f t="shared" si="799"/>
        <v>SPS3</v>
      </c>
      <c r="C1393" s="5" t="str">
        <f t="shared" si="810"/>
        <v>CH</v>
      </c>
      <c r="D1393" t="s">
        <v>1389</v>
      </c>
      <c r="E1393" t="s">
        <v>1230</v>
      </c>
      <c r="F1393" s="1" t="str">
        <f t="shared" ref="F1393:K1393" si="830">IFERROR(F1369/F1345,"-")</f>
        <v>-</v>
      </c>
      <c r="G1393" s="1">
        <f t="shared" si="830"/>
        <v>0.12023751974847224</v>
      </c>
      <c r="H1393" s="1">
        <f t="shared" si="830"/>
        <v>0.1245078888256087</v>
      </c>
      <c r="I1393" s="1">
        <f t="shared" si="830"/>
        <v>0.13773913700414098</v>
      </c>
      <c r="J1393" s="1">
        <f t="shared" si="830"/>
        <v>0.1529098845294051</v>
      </c>
      <c r="K1393" s="1">
        <f t="shared" si="830"/>
        <v>0.168080632054669</v>
      </c>
    </row>
    <row r="1394" spans="2:11" x14ac:dyDescent="0.25">
      <c r="B1394" s="5" t="str">
        <f t="shared" si="799"/>
        <v>SPS3</v>
      </c>
      <c r="C1394" s="5" t="str">
        <f t="shared" si="810"/>
        <v>CH</v>
      </c>
      <c r="D1394" t="s">
        <v>1390</v>
      </c>
      <c r="E1394" t="s">
        <v>1230</v>
      </c>
      <c r="F1394" s="1" t="str">
        <f t="shared" ref="F1394:K1394" si="831">IFERROR(F1370/F1346,"-")</f>
        <v>-</v>
      </c>
      <c r="G1394" s="1">
        <f t="shared" si="831"/>
        <v>8.4998076233608694E-2</v>
      </c>
      <c r="H1394" s="1">
        <f t="shared" si="831"/>
        <v>8.9272442690749645E-2</v>
      </c>
      <c r="I1394" s="1" t="str">
        <f t="shared" si="831"/>
        <v>-</v>
      </c>
      <c r="J1394" s="1" t="str">
        <f t="shared" si="831"/>
        <v>-</v>
      </c>
      <c r="K1394" s="1" t="str">
        <f t="shared" si="831"/>
        <v>-</v>
      </c>
    </row>
    <row r="1395" spans="2:11" x14ac:dyDescent="0.25">
      <c r="B1395" s="5" t="str">
        <f t="shared" si="799"/>
        <v>SPS3</v>
      </c>
      <c r="C1395" s="5" t="str">
        <f t="shared" si="810"/>
        <v>CH</v>
      </c>
      <c r="D1395" t="s">
        <v>1391</v>
      </c>
      <c r="E1395" t="s">
        <v>1230</v>
      </c>
      <c r="F1395" s="1" t="str">
        <f t="shared" ref="F1395:K1395" si="832">IFERROR(F1371/F1347,"-")</f>
        <v>-</v>
      </c>
      <c r="G1395" s="1">
        <f t="shared" si="832"/>
        <v>5.6422133461237138E-2</v>
      </c>
      <c r="H1395" s="1">
        <f t="shared" si="832"/>
        <v>5.7766829484264613E-2</v>
      </c>
      <c r="I1395" s="1" t="str">
        <f t="shared" si="832"/>
        <v>-</v>
      </c>
      <c r="J1395" s="1">
        <f t="shared" si="832"/>
        <v>7.0958063870597499E-2</v>
      </c>
      <c r="K1395" s="1" t="str">
        <f t="shared" si="832"/>
        <v>-</v>
      </c>
    </row>
    <row r="1396" spans="2:11" x14ac:dyDescent="0.25">
      <c r="B1396" s="5" t="str">
        <f t="shared" ref="B1396:B1459" si="833">B1395</f>
        <v>SPS3</v>
      </c>
      <c r="C1396" s="5" t="str">
        <f t="shared" si="810"/>
        <v>CH</v>
      </c>
      <c r="D1396" t="s">
        <v>1392</v>
      </c>
      <c r="E1396" t="s">
        <v>1230</v>
      </c>
      <c r="F1396" s="1" t="str">
        <f t="shared" ref="F1396:K1396" si="834">IFERROR(F1372/F1348,"-")</f>
        <v>-</v>
      </c>
      <c r="G1396" s="1">
        <f t="shared" si="834"/>
        <v>3.7689157759834363E-2</v>
      </c>
      <c r="H1396" s="1">
        <f t="shared" si="834"/>
        <v>3.8901219828352179E-2</v>
      </c>
      <c r="I1396" s="1" t="str">
        <f t="shared" si="834"/>
        <v>-</v>
      </c>
      <c r="J1396" s="1" t="str">
        <f t="shared" si="834"/>
        <v>-</v>
      </c>
      <c r="K1396" s="1" t="str">
        <f t="shared" si="834"/>
        <v>-</v>
      </c>
    </row>
    <row r="1397" spans="2:11" x14ac:dyDescent="0.25">
      <c r="B1397" s="9" t="str">
        <f t="shared" si="833"/>
        <v>SPS3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0.81326521247460415</v>
      </c>
      <c r="G1397" s="3">
        <f t="shared" ref="G1397" si="835">G1398+G1404+G1409+G1423</f>
        <v>0.84600719375260103</v>
      </c>
      <c r="H1397" s="3">
        <f t="shared" ref="H1397" si="836">H1398+H1404+H1409+H1423</f>
        <v>1.0332206931217331</v>
      </c>
      <c r="I1397" s="3">
        <f t="shared" ref="I1397" si="837">I1398+I1404+I1409+I1423</f>
        <v>0.53701932337134695</v>
      </c>
      <c r="J1397" s="3">
        <f t="shared" ref="J1397" si="838">J1398+J1404+J1409+J1423</f>
        <v>0.49611284927954857</v>
      </c>
      <c r="K1397" s="3">
        <f t="shared" ref="K1397" si="839">K1398+K1404+K1409+K1423</f>
        <v>0.4064406314410467</v>
      </c>
    </row>
    <row r="1398" spans="2:11" x14ac:dyDescent="0.25">
      <c r="B1398" s="5" t="str">
        <f t="shared" si="833"/>
        <v>SPS3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1.4989992099293762E-3</v>
      </c>
      <c r="G1398" s="1">
        <f t="shared" ref="G1398" si="840">SUM(G1399:G1403)</f>
        <v>2.0698476586167888E-3</v>
      </c>
      <c r="H1398" s="1">
        <f t="shared" ref="H1398" si="841">SUM(H1399:H1403)</f>
        <v>2.874426845423851E-3</v>
      </c>
      <c r="I1398" s="1">
        <f t="shared" ref="I1398" si="842">SUM(I1399:I1403)</f>
        <v>0.26982091015605908</v>
      </c>
      <c r="J1398" s="1">
        <f t="shared" ref="J1398" si="843">SUM(J1399:J1403)</f>
        <v>0.25321234178841617</v>
      </c>
      <c r="K1398" s="1">
        <f t="shared" ref="K1398" si="844">SUM(K1399:K1403)</f>
        <v>0.24438888773737208</v>
      </c>
    </row>
    <row r="1399" spans="2:11" x14ac:dyDescent="0.25">
      <c r="B1399" s="5" t="str">
        <f t="shared" si="833"/>
        <v>SPS3</v>
      </c>
      <c r="C1399" s="5" t="str">
        <f t="shared" ref="C1399:C1432" si="845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33"/>
        <v>SPS3</v>
      </c>
      <c r="C1400" s="5" t="str">
        <f t="shared" si="845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3.9057116068962273E-4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5.8124933936817022E-4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8.2338631456647406E-4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0.13562731691579508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0.12501052929036444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9.0573950690943691E-2</v>
      </c>
    </row>
    <row r="1401" spans="2:11" x14ac:dyDescent="0.25">
      <c r="B1401" s="5" t="str">
        <f t="shared" si="833"/>
        <v>SPS3</v>
      </c>
      <c r="C1401" s="5" t="str">
        <f t="shared" si="845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7.2526674963498366E-4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7.8774487567820741E-4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1.1089614896384373E-3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0.13270907732216317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0.12550315769108103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0.13276572706515075</v>
      </c>
    </row>
    <row r="1402" spans="2:11" x14ac:dyDescent="0.25">
      <c r="B1402" s="5" t="str">
        <f t="shared" si="833"/>
        <v>SPS3</v>
      </c>
      <c r="C1402" s="5" t="str">
        <f t="shared" si="845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3.8316129960476979E-4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6.2919003587867694E-4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7.9245574579770188E-4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1.3457078911246016E-3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2.5214222295671172E-3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2.0995171611643302E-2</v>
      </c>
    </row>
    <row r="1403" spans="2:11" x14ac:dyDescent="0.25">
      <c r="B1403" s="5" t="str">
        <f t="shared" si="833"/>
        <v>SPS3</v>
      </c>
      <c r="C1403" s="5" t="str">
        <f t="shared" si="845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7.1663407691734682E-5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1.4962329542123767E-4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1.388080269762524E-4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1.7723257740353383E-4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5.4038369634358569E-5</v>
      </c>
    </row>
    <row r="1404" spans="2:11" x14ac:dyDescent="0.25">
      <c r="B1404" s="5" t="str">
        <f t="shared" si="833"/>
        <v>SPS3</v>
      </c>
      <c r="C1404" s="5" t="str">
        <f t="shared" si="845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46">SUM(G1405:G1408)</f>
        <v>0</v>
      </c>
      <c r="H1404" s="1">
        <f t="shared" ref="H1404" si="847">SUM(H1405:H1408)</f>
        <v>0</v>
      </c>
      <c r="I1404" s="1">
        <f t="shared" ref="I1404" si="848">SUM(I1405:I1408)</f>
        <v>1.8566642602891152E-3</v>
      </c>
      <c r="J1404" s="1">
        <f t="shared" ref="J1404" si="849">SUM(J1405:J1408)</f>
        <v>1.7635178662403614E-3</v>
      </c>
      <c r="K1404" s="1">
        <f t="shared" ref="K1404" si="850">SUM(K1405:K1408)</f>
        <v>2.47925802066895E-2</v>
      </c>
    </row>
    <row r="1405" spans="2:11" x14ac:dyDescent="0.25">
      <c r="B1405" s="5" t="str">
        <f t="shared" si="833"/>
        <v>SPS3</v>
      </c>
      <c r="C1405" s="5" t="str">
        <f t="shared" si="845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1.0022405440137134E-3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5.8245220191556132E-4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4.5355836634388216E-4</v>
      </c>
    </row>
    <row r="1406" spans="2:11" x14ac:dyDescent="0.25">
      <c r="B1406" s="5" t="str">
        <f t="shared" si="833"/>
        <v>SPS3</v>
      </c>
      <c r="C1406" s="5" t="str">
        <f t="shared" si="845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4.8158461210275657E-4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7.2177012076456029E-4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7.2039720160259227E-4</v>
      </c>
    </row>
    <row r="1407" spans="2:11" x14ac:dyDescent="0.25">
      <c r="B1407" s="5" t="str">
        <f t="shared" si="833"/>
        <v>SPS3</v>
      </c>
      <c r="C1407" s="5" t="str">
        <f t="shared" si="845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3.4923700193051794E-4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4.1240721602656648E-4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2.3608642151615251E-2</v>
      </c>
    </row>
    <row r="1408" spans="2:11" x14ac:dyDescent="0.25">
      <c r="B1408" s="5" t="str">
        <f t="shared" si="833"/>
        <v>SPS3</v>
      </c>
      <c r="C1408" s="5" t="str">
        <f t="shared" si="845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2.3602102242127517E-5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4.6888327533673207E-5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9.9824871277727051E-6</v>
      </c>
    </row>
    <row r="1409" spans="2:11" x14ac:dyDescent="0.25">
      <c r="B1409" s="5" t="str">
        <f t="shared" si="833"/>
        <v>SPS3</v>
      </c>
      <c r="C1409" s="5" t="str">
        <f t="shared" si="845"/>
        <v>CH</v>
      </c>
      <c r="D1409" t="s">
        <v>1407</v>
      </c>
      <c r="E1409" t="s">
        <v>8</v>
      </c>
      <c r="F1409" s="1">
        <f>SUM(F1414:F1422)</f>
        <v>0.81162765551752758</v>
      </c>
      <c r="G1409" s="1">
        <f t="shared" ref="G1409:K1409" si="851">SUM(G1414:G1422)</f>
        <v>0.84275677841819274</v>
      </c>
      <c r="H1409" s="1">
        <f t="shared" si="851"/>
        <v>1.0272728615052973</v>
      </c>
      <c r="I1409" s="1">
        <f t="shared" si="851"/>
        <v>0.26534174895499874</v>
      </c>
      <c r="J1409" s="1">
        <f t="shared" si="851"/>
        <v>0.24113698962489208</v>
      </c>
      <c r="K1409" s="1">
        <f t="shared" si="851"/>
        <v>0.13725916349698516</v>
      </c>
    </row>
    <row r="1410" spans="2:11" x14ac:dyDescent="0.25">
      <c r="B1410" s="5" t="str">
        <f t="shared" si="833"/>
        <v>SPS3</v>
      </c>
      <c r="C1410" s="5" t="str">
        <f t="shared" si="845"/>
        <v>CH</v>
      </c>
      <c r="D1410" t="s">
        <v>1408</v>
      </c>
      <c r="E1410" t="s">
        <v>8</v>
      </c>
      <c r="F1410" s="1">
        <f>F1409-F1411</f>
        <v>0.79143591244882594</v>
      </c>
      <c r="G1410" s="1">
        <f t="shared" ref="G1410" si="852">G1409-G1411</f>
        <v>0.82046517151850018</v>
      </c>
      <c r="H1410" s="1">
        <f t="shared" ref="H1410" si="853">H1409-H1411</f>
        <v>0.99415456035444949</v>
      </c>
      <c r="I1410" s="1">
        <f t="shared" ref="I1410" si="854">I1409-I1411</f>
        <v>0.25421870657560247</v>
      </c>
      <c r="J1410" s="1">
        <f t="shared" ref="J1410" si="855">J1409-J1411</f>
        <v>0.21077425283016857</v>
      </c>
      <c r="K1410" s="1">
        <f t="shared" ref="K1410" si="856">K1409-K1411</f>
        <v>-1.1157855446214893E-2</v>
      </c>
    </row>
    <row r="1411" spans="2:11" x14ac:dyDescent="0.25">
      <c r="B1411" s="5" t="str">
        <f t="shared" si="833"/>
        <v>SPS3</v>
      </c>
      <c r="C1411" s="5" t="str">
        <f t="shared" si="845"/>
        <v>CH</v>
      </c>
      <c r="D1411" t="s">
        <v>1409</v>
      </c>
      <c r="E1411" t="s">
        <v>8</v>
      </c>
      <c r="F1411" s="1">
        <f>SUM(F1412:F1413)</f>
        <v>2.0191743068701584E-2</v>
      </c>
      <c r="G1411" s="1">
        <f t="shared" ref="G1411" si="857">SUM(G1412:G1413)</f>
        <v>2.2291606899692576E-2</v>
      </c>
      <c r="H1411" s="1">
        <f t="shared" ref="H1411" si="858">SUM(H1412:H1413)</f>
        <v>3.311830115084783E-2</v>
      </c>
      <c r="I1411" s="1">
        <f t="shared" ref="I1411" si="859">SUM(I1412:I1413)</f>
        <v>1.1123042379396264E-2</v>
      </c>
      <c r="J1411" s="1">
        <f t="shared" ref="J1411" si="860">SUM(J1412:J1413)</f>
        <v>3.0362736794723511E-2</v>
      </c>
      <c r="K1411" s="1">
        <f t="shared" ref="K1411" si="861">SUM(K1412:K1413)</f>
        <v>0.14841701894320006</v>
      </c>
    </row>
    <row r="1412" spans="2:11" x14ac:dyDescent="0.25">
      <c r="B1412" s="5" t="str">
        <f t="shared" si="833"/>
        <v>SPS3</v>
      </c>
      <c r="C1412" s="5" t="str">
        <f t="shared" si="845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2.0191743068701584E-2</v>
      </c>
      <c r="G1412" s="1">
        <f>[1]Transport!C$26/SUM([1]Transport!C$22,[1]Transport!C$26)*G1409*(G$33+G$580)/(G$33+G$580+G$36)</f>
        <v>2.2291606899692576E-2</v>
      </c>
      <c r="H1412" s="1">
        <f>[1]Transport!D$26/SUM([1]Transport!D$22,[1]Transport!D$26)*H1409*(H$33+H$580)/(H$33+H$580+H$36)</f>
        <v>3.311830115084783E-2</v>
      </c>
      <c r="I1412" s="1">
        <f>[1]Transport!E$26/SUM([1]Transport!E$22,[1]Transport!E$26)*I1409*(I$33+I$580)/(I$33+I$580+I$36)</f>
        <v>1.1123042379396264E-2</v>
      </c>
      <c r="J1412" s="1">
        <f>[1]Transport!F$26/SUM([1]Transport!F$22,[1]Transport!F$26)*J1409*(J$33+J$580)/(J$33+J$580+J$36)</f>
        <v>1.3729051096130759E-2</v>
      </c>
      <c r="K1412" s="1">
        <f>[1]Transport!G$26/SUM([1]Transport!G$22,[1]Transport!G$26)*K1409*(K$33+K$580)/(K$33+K$580+K$36)</f>
        <v>2.4674125204109339E-2</v>
      </c>
    </row>
    <row r="1413" spans="2:11" x14ac:dyDescent="0.25">
      <c r="B1413" s="5" t="str">
        <f t="shared" si="833"/>
        <v>SPS3</v>
      </c>
      <c r="C1413" s="5" t="str">
        <f t="shared" si="845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1.6633685698592752E-2</v>
      </c>
      <c r="K1413" s="1">
        <f>(K$36+K$716)/([1]Transport!G$22+[1]Transport!G$26)*K1409</f>
        <v>0.12374289373909073</v>
      </c>
    </row>
    <row r="1414" spans="2:11" x14ac:dyDescent="0.25">
      <c r="B1414" s="5" t="str">
        <f t="shared" si="833"/>
        <v>SPS3</v>
      </c>
      <c r="C1414" s="5" t="str">
        <f t="shared" si="845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3.5056005150024142E-3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6.2624724198556579E-3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2.1191285660411448E-2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2.8831306347609449E-2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6.9338058563147675E-2</v>
      </c>
    </row>
    <row r="1415" spans="2:11" x14ac:dyDescent="0.25">
      <c r="B1415" s="5" t="str">
        <f t="shared" si="833"/>
        <v>SPS3</v>
      </c>
      <c r="C1415" s="5" t="str">
        <f t="shared" si="845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5.0887209404008708E-4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1.1353615976465444E-2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0.10922856198573692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9.2464425868713077E-2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3.7287418500753317E-2</v>
      </c>
    </row>
    <row r="1416" spans="2:11" x14ac:dyDescent="0.25">
      <c r="B1416" s="5" t="str">
        <f t="shared" si="833"/>
        <v>SPS3</v>
      </c>
      <c r="C1416" s="5" t="str">
        <f t="shared" si="845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3.0804941147741498E-4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2.6790850358004489E-3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0.1348432994981586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0.11970829173847233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3.061770899252584E-2</v>
      </c>
    </row>
    <row r="1417" spans="2:11" x14ac:dyDescent="0.25">
      <c r="B1417" s="5" t="str">
        <f t="shared" si="833"/>
        <v>SPS3</v>
      </c>
      <c r="C1417" s="5" t="str">
        <f t="shared" si="845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5.6245740461696455E-5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1.0846591079245766E-4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7.8601810691762935E-5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1.2140466053855665E-4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1.597744055834258E-5</v>
      </c>
    </row>
    <row r="1418" spans="2:11" x14ac:dyDescent="0.25">
      <c r="B1418" s="5" t="str">
        <f t="shared" si="833"/>
        <v>SPS3</v>
      </c>
      <c r="C1418" s="5" t="str">
        <f t="shared" si="845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6.0286121703750075E-3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6.0134823843328725E-3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5.9692585494715671E-3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33"/>
        <v>SPS3</v>
      </c>
      <c r="C1419" s="5" t="str">
        <f t="shared" si="845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0.11331846854338989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0.30673477971557472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0.37052723780292368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0</v>
      </c>
    </row>
    <row r="1420" spans="2:11" x14ac:dyDescent="0.25">
      <c r="B1420" s="5" t="str">
        <f t="shared" si="833"/>
        <v>SPS3</v>
      </c>
      <c r="C1420" s="5" t="str">
        <f t="shared" si="845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0.51927221753502473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0.39818044848875445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0.47636823238570469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0</v>
      </c>
    </row>
    <row r="1421" spans="2:11" x14ac:dyDescent="0.25">
      <c r="B1421" s="5" t="str">
        <f t="shared" si="833"/>
        <v>SPS3</v>
      </c>
      <c r="C1421" s="5" t="str">
        <f t="shared" si="845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0.15861771029286975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0.12706706546887878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0.15349901673697885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1.3758312248003091E-6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25">
      <c r="B1422" s="5" t="str">
        <f t="shared" si="833"/>
        <v>SPS3</v>
      </c>
      <c r="C1422" s="5" t="str">
        <f t="shared" si="845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1.4390646975868233E-2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3.8223459967032269E-4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5.0547668730446923E-4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1.0185178333855827E-5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33"/>
        <v>SPS3</v>
      </c>
      <c r="C1423" s="5" t="str">
        <f t="shared" si="845"/>
        <v>CH</v>
      </c>
      <c r="D1423" t="s">
        <v>1420</v>
      </c>
      <c r="E1423" t="s">
        <v>8</v>
      </c>
      <c r="F1423" s="1">
        <f>SUM(F1428:F1432)</f>
        <v>1.3855774714716112E-4</v>
      </c>
      <c r="G1423" s="1">
        <f t="shared" ref="G1423" si="862">SUM(G1428:G1432)</f>
        <v>1.1805676757914011E-3</v>
      </c>
      <c r="H1423" s="1">
        <f t="shared" ref="H1423" si="863">SUM(H1428:H1432)</f>
        <v>3.0734047710118942E-3</v>
      </c>
      <c r="I1423" s="1">
        <f t="shared" ref="I1423" si="864">SUM(I1428:I1432)</f>
        <v>0</v>
      </c>
      <c r="J1423" s="1">
        <f t="shared" ref="J1423" si="865">SUM(J1428:J1432)</f>
        <v>0</v>
      </c>
      <c r="K1423" s="1">
        <f t="shared" ref="K1423" si="866">SUM(K1428:K1432)</f>
        <v>0</v>
      </c>
    </row>
    <row r="1424" spans="2:11" x14ac:dyDescent="0.25">
      <c r="B1424" s="5" t="str">
        <f t="shared" si="833"/>
        <v>SPS3</v>
      </c>
      <c r="C1424" s="5" t="str">
        <f t="shared" si="845"/>
        <v>CH</v>
      </c>
      <c r="D1424" t="s">
        <v>1421</v>
      </c>
      <c r="E1424" t="s">
        <v>8</v>
      </c>
      <c r="F1424" s="1">
        <f>F1423-F1425</f>
        <v>1.2812300437124851E-4</v>
      </c>
      <c r="G1424" s="1">
        <f t="shared" ref="G1424" si="867">G1423-G1425</f>
        <v>1.0676211731081001E-3</v>
      </c>
      <c r="H1424" s="1">
        <f t="shared" ref="H1424" si="868">H1423-H1425</f>
        <v>2.7795483656346551E-3</v>
      </c>
      <c r="I1424" s="1">
        <f t="shared" ref="I1424" si="869">I1423-I1425</f>
        <v>0</v>
      </c>
      <c r="J1424" s="1">
        <f t="shared" ref="J1424" si="870">J1423-J1425</f>
        <v>0</v>
      </c>
      <c r="K1424" s="1">
        <f t="shared" ref="K1424" si="871">K1423-K1425</f>
        <v>0</v>
      </c>
    </row>
    <row r="1425" spans="2:11" x14ac:dyDescent="0.25">
      <c r="B1425" s="5" t="str">
        <f t="shared" si="833"/>
        <v>SPS3</v>
      </c>
      <c r="C1425" s="5" t="str">
        <f t="shared" si="845"/>
        <v>CH</v>
      </c>
      <c r="D1425" t="s">
        <v>1422</v>
      </c>
      <c r="E1425" t="s">
        <v>8</v>
      </c>
      <c r="F1425" s="1">
        <f>SUM(F1426:F1427)</f>
        <v>1.0434742775912619E-5</v>
      </c>
      <c r="G1425" s="1">
        <f t="shared" ref="G1425" si="872">SUM(G1426:G1427)</f>
        <v>1.1294650268330108E-4</v>
      </c>
      <c r="H1425" s="1">
        <f t="shared" ref="H1425" si="873">SUM(H1426:H1427)</f>
        <v>2.9385640537723883E-4</v>
      </c>
      <c r="I1425" s="1">
        <f t="shared" ref="I1425" si="874">SUM(I1426:I1427)</f>
        <v>0</v>
      </c>
      <c r="J1425" s="1">
        <f t="shared" ref="J1425" si="875">SUM(J1426:J1427)</f>
        <v>0</v>
      </c>
      <c r="K1425" s="1">
        <f t="shared" ref="K1425" si="876">SUM(K1426:K1427)</f>
        <v>0</v>
      </c>
    </row>
    <row r="1426" spans="2:11" x14ac:dyDescent="0.25">
      <c r="B1426" s="5" t="str">
        <f t="shared" si="833"/>
        <v>SPS3</v>
      </c>
      <c r="C1426" s="5" t="str">
        <f t="shared" si="845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1.0434742775912619E-5</v>
      </c>
      <c r="G1426" s="1">
        <f>[1]Transport!C$27/SUM([1]Transport!C$24,[1]Transport!C$27)*G1423*(G$45+G$612)/(G$45+G$612+G$47)</f>
        <v>1.1294650268330108E-4</v>
      </c>
      <c r="H1426" s="1">
        <f>[1]Transport!D$27/SUM([1]Transport!D$24,[1]Transport!D$27)*H1423*(H$45+H$612)/(H$45+H$612+H$47)</f>
        <v>2.9385640537723883E-4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0</v>
      </c>
      <c r="K1426" s="1">
        <f>[1]Transport!G$27/SUM([1]Transport!G$24,[1]Transport!G$27)*K1423*(K$45+K$612)/(K$45+K$612+K$47)</f>
        <v>0</v>
      </c>
    </row>
    <row r="1427" spans="2:11" x14ac:dyDescent="0.25">
      <c r="B1427" s="5" t="str">
        <f t="shared" si="833"/>
        <v>SPS3</v>
      </c>
      <c r="C1427" s="5" t="str">
        <f t="shared" si="845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</v>
      </c>
      <c r="K1427" s="1">
        <f>(K$47+K$714)/([1]Transport!G$24+[1]Transport!G$27)*K1423</f>
        <v>0</v>
      </c>
    </row>
    <row r="1428" spans="2:11" x14ac:dyDescent="0.25">
      <c r="B1428" s="5" t="str">
        <f t="shared" si="833"/>
        <v>SPS3</v>
      </c>
      <c r="C1428" s="5" t="str">
        <f t="shared" si="845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1.3855774714716112E-4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1.3862953491670032E-4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1.3708990120015499E-4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33"/>
        <v>SPS3</v>
      </c>
      <c r="C1429" s="5" t="str">
        <f t="shared" si="845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6.438892118238675E-4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1.7441184524376347E-3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0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25">
      <c r="B1430" s="5" t="str">
        <f t="shared" si="833"/>
        <v>SPS3</v>
      </c>
      <c r="C1430" s="5" t="str">
        <f t="shared" si="845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2.0839145102967879E-4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6.7907085533252263E-4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0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0</v>
      </c>
    </row>
    <row r="1431" spans="2:11" x14ac:dyDescent="0.25">
      <c r="B1431" s="5" t="str">
        <f t="shared" si="833"/>
        <v>SPS3</v>
      </c>
      <c r="C1431" s="5" t="str">
        <f t="shared" si="845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1.6063940886578847E-4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4.3134188461412947E-4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0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25">
      <c r="B1432" s="5" t="str">
        <f t="shared" si="833"/>
        <v>SPS3</v>
      </c>
      <c r="C1432" s="5" t="str">
        <f t="shared" si="845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2.9018069155366044E-5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8.1783677427452661E-5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 t="shared" si="833"/>
        <v>SPS3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0.13099135744225451</v>
      </c>
      <c r="G1433" s="3">
        <f t="shared" ref="G1433" si="877">SUM(G1434:G1456)</f>
        <v>0.13164956804388672</v>
      </c>
      <c r="H1433" s="3">
        <f t="shared" ref="H1433" si="878">SUM(H1434:H1456)</f>
        <v>0.13269134147357134</v>
      </c>
      <c r="I1433" s="3">
        <f t="shared" ref="I1433" si="879">SUM(I1434:I1456)</f>
        <v>0.13441642333814763</v>
      </c>
      <c r="J1433" s="3">
        <f t="shared" ref="J1433" si="880">SUM(J1434:J1456)</f>
        <v>0.13473063434644753</v>
      </c>
      <c r="K1433" s="3">
        <f t="shared" ref="K1433" si="881">SUM(K1434:K1456)</f>
        <v>0.13114482187037199</v>
      </c>
    </row>
    <row r="1434" spans="2:11" x14ac:dyDescent="0.25">
      <c r="B1434" s="5" t="str">
        <f t="shared" si="833"/>
        <v>SPS3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si="833"/>
        <v>SPS3</v>
      </c>
      <c r="C1435" s="5" t="str">
        <f t="shared" ref="C1435:C1456" si="882">C1434</f>
        <v>CH</v>
      </c>
      <c r="D1435" t="s">
        <v>1430</v>
      </c>
      <c r="E1435" t="str">
        <f t="shared" ref="E1435:E1456" si="883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1.4790664931628813E-4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2.2330233849387839E-4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3.2566701990269285E-4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6.0638755944091023E-2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5.8934905180994458E-2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4.7608292639315875E-2</v>
      </c>
    </row>
    <row r="1436" spans="2:11" x14ac:dyDescent="0.25">
      <c r="B1436" s="5" t="str">
        <f t="shared" si="833"/>
        <v>SPS3</v>
      </c>
      <c r="C1436" s="5" t="str">
        <f t="shared" si="882"/>
        <v>CH</v>
      </c>
      <c r="D1436" t="s">
        <v>1431</v>
      </c>
      <c r="E1436" t="str">
        <f t="shared" si="883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1.995794154521616E-4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2.1940889668328414E-4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3.1533915540574972E-4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4.3009152580325165E-2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4.4119046821571674E-2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5.0387176274713737E-2</v>
      </c>
    </row>
    <row r="1437" spans="2:11" x14ac:dyDescent="0.25">
      <c r="B1437" s="5" t="str">
        <f t="shared" si="833"/>
        <v>SPS3</v>
      </c>
      <c r="C1437" s="5" t="str">
        <f t="shared" si="882"/>
        <v>CH</v>
      </c>
      <c r="D1437" t="s">
        <v>1432</v>
      </c>
      <c r="E1437" t="str">
        <f t="shared" si="883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7.0107178986830102E-5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1.1636920897526134E-4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1.4867938523069874E-4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2.7921900615618264E-4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5.9271605660890232E-4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5.4908063518702378E-3</v>
      </c>
    </row>
    <row r="1438" spans="2:11" x14ac:dyDescent="0.25">
      <c r="B1438" s="5" t="str">
        <f t="shared" si="833"/>
        <v>SPS3</v>
      </c>
      <c r="C1438" s="5" t="str">
        <f t="shared" si="882"/>
        <v>CH</v>
      </c>
      <c r="D1438" t="s">
        <v>1433</v>
      </c>
      <c r="E1438" t="str">
        <f t="shared" si="883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9.0607121422490452E-6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1.9392096533099548E-5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1.9323679607985781E-5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2.7838284871675816E-5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9.2386629339113967E-6</v>
      </c>
    </row>
    <row r="1439" spans="2:11" x14ac:dyDescent="0.25">
      <c r="B1439" s="5" t="str">
        <f t="shared" si="833"/>
        <v>SPS3</v>
      </c>
      <c r="C1439" s="5" t="str">
        <f t="shared" si="882"/>
        <v>CH</v>
      </c>
      <c r="D1439" t="s">
        <v>1434</v>
      </c>
      <c r="E1439" t="str">
        <f t="shared" si="883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2.3492694920852146E-4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1.4911985622229488E-4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1.3030200819226691E-4</v>
      </c>
    </row>
    <row r="1440" spans="2:11" x14ac:dyDescent="0.25">
      <c r="B1440" s="5" t="str">
        <f t="shared" si="833"/>
        <v>SPS3</v>
      </c>
      <c r="C1440" s="5" t="str">
        <f t="shared" si="882"/>
        <v>CH</v>
      </c>
      <c r="D1440" t="s">
        <v>1435</v>
      </c>
      <c r="E1440" t="str">
        <f t="shared" si="883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8.1436687271525956E-5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1.3409533437664059E-4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1.5148097095913425E-4</v>
      </c>
    </row>
    <row r="1441" spans="2:11" x14ac:dyDescent="0.25">
      <c r="B1441" s="5" t="str">
        <f t="shared" si="833"/>
        <v>SPS3</v>
      </c>
      <c r="C1441" s="5" t="str">
        <f t="shared" si="882"/>
        <v>CH</v>
      </c>
      <c r="D1441" t="s">
        <v>1436</v>
      </c>
      <c r="E1441" t="str">
        <f t="shared" si="883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3.9501635496542657E-5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5.2087183359301278E-5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3.4594688166375174E-3</v>
      </c>
    </row>
    <row r="1442" spans="2:11" x14ac:dyDescent="0.25">
      <c r="B1442" s="5" t="str">
        <f t="shared" si="833"/>
        <v>SPS3</v>
      </c>
      <c r="C1442" s="5" t="str">
        <f t="shared" si="882"/>
        <v>CH</v>
      </c>
      <c r="D1442" t="s">
        <v>1437</v>
      </c>
      <c r="E1442" t="str">
        <f t="shared" si="883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1.7913204974878756E-6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3.9799419610045145E-6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9.7717831935641702E-7</v>
      </c>
    </row>
    <row r="1443" spans="2:11" x14ac:dyDescent="0.25">
      <c r="B1443" s="5" t="str">
        <f t="shared" si="833"/>
        <v>SPS3</v>
      </c>
      <c r="C1443" s="5" t="str">
        <f t="shared" si="882"/>
        <v>CH</v>
      </c>
      <c r="D1443" t="s">
        <v>1438</v>
      </c>
      <c r="E1443" t="str">
        <f t="shared" si="883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5.6970810932414006E-4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1.0407005752914823E-3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3.8304786371309084E-3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5.7578437149201096E-3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1.5403676430309095E-2</v>
      </c>
    </row>
    <row r="1444" spans="2:11" x14ac:dyDescent="0.25">
      <c r="B1444" s="5" t="str">
        <f t="shared" si="833"/>
        <v>SPS3</v>
      </c>
      <c r="C1444" s="5" t="str">
        <f t="shared" si="882"/>
        <v>CH</v>
      </c>
      <c r="D1444" t="s">
        <v>1439</v>
      </c>
      <c r="E1444" t="str">
        <f t="shared" si="883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5.928051231943964E-5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1.3861795287133261E-3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1.4318958913299784E-2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1.3289566109153307E-2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5.4738293797216607E-3</v>
      </c>
    </row>
    <row r="1445" spans="2:11" x14ac:dyDescent="0.25">
      <c r="B1445" s="5" t="str">
        <f t="shared" si="833"/>
        <v>SPS3</v>
      </c>
      <c r="C1445" s="5" t="str">
        <f t="shared" si="882"/>
        <v>CH</v>
      </c>
      <c r="D1445" t="s">
        <v>1440</v>
      </c>
      <c r="E1445" t="str">
        <f t="shared" si="883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2.4100500822546699E-5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2.1898811024369746E-4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1.1958376089376084E-2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1.1660893435119033E-2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3.0284210209088466E-3</v>
      </c>
    </row>
    <row r="1446" spans="2:11" x14ac:dyDescent="0.25">
      <c r="B1446" s="5" t="str">
        <f t="shared" si="833"/>
        <v>SPS3</v>
      </c>
      <c r="C1446" s="5" t="str">
        <f t="shared" si="882"/>
        <v>CH</v>
      </c>
      <c r="D1446" t="s">
        <v>1441</v>
      </c>
      <c r="E1446" t="str">
        <f t="shared" si="883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2.9670437936869709E-6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5.8469109568104947E-6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4.5018956864073024E-6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7.9269336892564748E-6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1.1521364903706972E-6</v>
      </c>
    </row>
    <row r="1447" spans="2:11" x14ac:dyDescent="0.25">
      <c r="B1447" s="5" t="str">
        <f t="shared" si="833"/>
        <v>SPS3</v>
      </c>
      <c r="C1447" s="5" t="str">
        <f t="shared" si="882"/>
        <v>CH</v>
      </c>
      <c r="D1447" t="s">
        <v>2117</v>
      </c>
      <c r="E1447" t="str">
        <f t="shared" si="883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5.9986195801836978E-2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4.7985945648784591E-2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2.9989210148516316E-2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833"/>
        <v>SPS3</v>
      </c>
      <c r="C1448" s="5" t="str">
        <f t="shared" si="882"/>
        <v>CH</v>
      </c>
      <c r="D1448" t="s">
        <v>1442</v>
      </c>
      <c r="E1448" t="str">
        <f t="shared" si="883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1.4042330282682546E-2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3.8856080942743822E-2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4.7493596301191564E-2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0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0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0</v>
      </c>
    </row>
    <row r="1449" spans="2:11" x14ac:dyDescent="0.25">
      <c r="B1449" s="5" t="str">
        <f t="shared" si="833"/>
        <v>SPS3</v>
      </c>
      <c r="C1449" s="5" t="str">
        <f t="shared" si="882"/>
        <v>CH</v>
      </c>
      <c r="D1449" t="s">
        <v>1443</v>
      </c>
      <c r="E1449" t="str">
        <f t="shared" si="883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4.5418584634363678E-2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3.4964745355733906E-2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4.180962369589232E-2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0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0</v>
      </c>
    </row>
    <row r="1450" spans="2:11" x14ac:dyDescent="0.25">
      <c r="B1450" s="5" t="str">
        <f t="shared" si="833"/>
        <v>SPS3</v>
      </c>
      <c r="C1450" s="5" t="str">
        <f t="shared" si="882"/>
        <v>CH</v>
      </c>
      <c r="D1450" t="s">
        <v>1444</v>
      </c>
      <c r="E1450" t="str">
        <f t="shared" si="883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9.1918214417789131E-3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7.3925996397630235E-3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8.926533071927218E-3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0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1.034219724673372E-7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25">
      <c r="B1451" s="5" t="str">
        <f t="shared" si="833"/>
        <v>SPS3</v>
      </c>
      <c r="C1451" s="5" t="str">
        <f t="shared" si="882"/>
        <v>CH</v>
      </c>
      <c r="D1451" t="s">
        <v>1445</v>
      </c>
      <c r="E1451" t="str">
        <f t="shared" si="883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5.5614787051341482E-4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1.4889593209518841E-5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1.985963751229995E-5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5.1207162739655248E-7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833"/>
        <v>SPS3</v>
      </c>
      <c r="C1452" s="5" t="str">
        <f t="shared" si="882"/>
        <v>CH</v>
      </c>
      <c r="D1452" t="s">
        <v>2120</v>
      </c>
      <c r="E1452" t="str">
        <f t="shared" si="883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1.3786841673237046E-3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1.1058197420813643E-3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6.877278881695524E-4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833"/>
        <v>SPS3</v>
      </c>
      <c r="C1453" s="5" t="str">
        <f t="shared" si="882"/>
        <v>CH</v>
      </c>
      <c r="D1453" t="s">
        <v>1446</v>
      </c>
      <c r="E1453" t="str">
        <f t="shared" si="883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7.7419641822500419E-5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2.1608722176148765E-4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0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25">
      <c r="B1454" s="5" t="str">
        <f t="shared" si="833"/>
        <v>SPS3</v>
      </c>
      <c r="C1454" s="5" t="str">
        <f t="shared" si="882"/>
        <v>CH</v>
      </c>
      <c r="D1454" t="s">
        <v>1447</v>
      </c>
      <c r="E1454" t="str">
        <f t="shared" si="883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1.7712872441053015E-5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5.9666988412727968E-5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0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0</v>
      </c>
    </row>
    <row r="1455" spans="2:11" x14ac:dyDescent="0.25">
      <c r="B1455" s="5" t="str">
        <f t="shared" si="833"/>
        <v>SPS3</v>
      </c>
      <c r="C1455" s="5" t="str">
        <f t="shared" si="882"/>
        <v>CH</v>
      </c>
      <c r="D1455" t="s">
        <v>1448</v>
      </c>
      <c r="E1455" t="str">
        <f t="shared" si="883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9.0636181661597529E-6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2.5071928516670202E-5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0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25">
      <c r="B1456" s="5" t="str">
        <f t="shared" si="833"/>
        <v>SPS3</v>
      </c>
      <c r="C1456" s="5" t="str">
        <f t="shared" si="882"/>
        <v>CH</v>
      </c>
      <c r="D1456" t="s">
        <v>1449</v>
      </c>
      <c r="E1456" t="str">
        <f t="shared" si="883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1.0936665862823747E-6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3.1718093936328483E-6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 t="shared" si="833"/>
        <v>SPS3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si="833"/>
        <v>SPS3</v>
      </c>
      <c r="C1458" s="5" t="str">
        <f t="shared" ref="C1458:C1480" si="884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885">IFERROR(G1434/G1399,"-")</f>
        <v>-</v>
      </c>
      <c r="H1458" s="1" t="str">
        <f t="shared" si="885"/>
        <v>-</v>
      </c>
      <c r="I1458" s="1" t="str">
        <f t="shared" si="885"/>
        <v>-</v>
      </c>
      <c r="J1458" s="1" t="str">
        <f t="shared" si="885"/>
        <v>-</v>
      </c>
      <c r="K1458" s="1" t="str">
        <f t="shared" si="885"/>
        <v>-</v>
      </c>
    </row>
    <row r="1459" spans="2:11" x14ac:dyDescent="0.25">
      <c r="B1459" s="5" t="str">
        <f t="shared" si="833"/>
        <v>SPS3</v>
      </c>
      <c r="C1459" s="5" t="str">
        <f t="shared" si="884"/>
        <v>CH</v>
      </c>
      <c r="D1459" t="s">
        <v>1451</v>
      </c>
      <c r="E1459" t="s">
        <v>1230</v>
      </c>
      <c r="F1459" s="1">
        <f t="shared" ref="F1459:K1459" si="886">IFERROR(F1435/F1400,"-")</f>
        <v>0.37869321701871866</v>
      </c>
      <c r="G1459" s="1">
        <f t="shared" si="886"/>
        <v>0.38417650286985711</v>
      </c>
      <c r="H1459" s="1">
        <f t="shared" si="886"/>
        <v>0.39552153605341583</v>
      </c>
      <c r="I1459" s="1">
        <f t="shared" si="886"/>
        <v>0.44709839671707807</v>
      </c>
      <c r="J1459" s="1">
        <f t="shared" si="886"/>
        <v>0.4714395300583456</v>
      </c>
      <c r="K1459" s="1">
        <f t="shared" si="886"/>
        <v>0.5256289725261607</v>
      </c>
    </row>
    <row r="1460" spans="2:11" x14ac:dyDescent="0.25">
      <c r="B1460" s="5" t="str">
        <f t="shared" ref="B1460:B1523" si="887">B1459</f>
        <v>SPS3</v>
      </c>
      <c r="C1460" s="5" t="str">
        <f t="shared" si="884"/>
        <v>CH</v>
      </c>
      <c r="D1460" t="s">
        <v>1452</v>
      </c>
      <c r="E1460" t="s">
        <v>1230</v>
      </c>
      <c r="F1460" s="1">
        <f t="shared" ref="F1460:K1460" si="888">IFERROR(F1436/F1401,"-")</f>
        <v>0.2751807049649071</v>
      </c>
      <c r="G1460" s="1">
        <f t="shared" si="888"/>
        <v>0.27852786283679026</v>
      </c>
      <c r="H1460" s="1">
        <f t="shared" si="888"/>
        <v>0.28435537063470256</v>
      </c>
      <c r="I1460" s="1">
        <f t="shared" si="888"/>
        <v>0.32408598905345859</v>
      </c>
      <c r="J1460" s="1">
        <f t="shared" si="888"/>
        <v>0.35153734482257593</v>
      </c>
      <c r="K1460" s="1">
        <f t="shared" si="888"/>
        <v>0.37951945421869127</v>
      </c>
    </row>
    <row r="1461" spans="2:11" x14ac:dyDescent="0.25">
      <c r="B1461" s="5" t="str">
        <f t="shared" si="887"/>
        <v>SPS3</v>
      </c>
      <c r="C1461" s="5" t="str">
        <f t="shared" si="884"/>
        <v>CH</v>
      </c>
      <c r="D1461" t="s">
        <v>1453</v>
      </c>
      <c r="E1461" t="s">
        <v>1230</v>
      </c>
      <c r="F1461" s="1">
        <f t="shared" ref="F1461:K1461" si="889">IFERROR(F1437/F1402,"-")</f>
        <v>0.18297040713439885</v>
      </c>
      <c r="G1461" s="1">
        <f t="shared" si="889"/>
        <v>0.18495081348951964</v>
      </c>
      <c r="H1461" s="1">
        <f t="shared" si="889"/>
        <v>0.18761853392965822</v>
      </c>
      <c r="I1461" s="1">
        <f t="shared" si="889"/>
        <v>0.20748857014046387</v>
      </c>
      <c r="J1461" s="1">
        <f t="shared" si="889"/>
        <v>0.23507211511761003</v>
      </c>
      <c r="K1461" s="1">
        <f t="shared" si="889"/>
        <v>0.26152710029887055</v>
      </c>
    </row>
    <row r="1462" spans="2:11" x14ac:dyDescent="0.25">
      <c r="B1462" s="5" t="str">
        <f t="shared" si="887"/>
        <v>SPS3</v>
      </c>
      <c r="C1462" s="5" t="str">
        <f t="shared" si="884"/>
        <v>CH</v>
      </c>
      <c r="D1462" t="s">
        <v>1454</v>
      </c>
      <c r="E1462" t="s">
        <v>1230</v>
      </c>
      <c r="F1462" s="1" t="str">
        <f t="shared" ref="F1462:K1462" si="890">IFERROR(F1438/F1403,"-")</f>
        <v>-</v>
      </c>
      <c r="G1462" s="1">
        <f t="shared" si="890"/>
        <v>0.12643429100140413</v>
      </c>
      <c r="H1462" s="1">
        <f t="shared" si="890"/>
        <v>0.12960613170900001</v>
      </c>
      <c r="I1462" s="1">
        <f t="shared" si="890"/>
        <v>0.1392115429411854</v>
      </c>
      <c r="J1462" s="1">
        <f t="shared" si="890"/>
        <v>0.15707205345376166</v>
      </c>
      <c r="K1462" s="1">
        <f t="shared" si="890"/>
        <v>0.1709648717461914</v>
      </c>
    </row>
    <row r="1463" spans="2:11" x14ac:dyDescent="0.25">
      <c r="B1463" s="5" t="str">
        <f t="shared" si="887"/>
        <v>SPS3</v>
      </c>
      <c r="C1463" s="5" t="str">
        <f t="shared" si="884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891">IFERROR(G1439/G1405,"-")</f>
        <v>-</v>
      </c>
      <c r="H1463" s="1" t="str">
        <f t="shared" si="891"/>
        <v>-</v>
      </c>
      <c r="I1463" s="1">
        <f t="shared" si="891"/>
        <v>0.23440176174444108</v>
      </c>
      <c r="J1463" s="1">
        <f t="shared" si="891"/>
        <v>0.25602076141505076</v>
      </c>
      <c r="K1463" s="1">
        <f t="shared" si="891"/>
        <v>0.28728829156570684</v>
      </c>
    </row>
    <row r="1464" spans="2:11" x14ac:dyDescent="0.25">
      <c r="B1464" s="5" t="str">
        <f t="shared" si="887"/>
        <v>SPS3</v>
      </c>
      <c r="C1464" s="5" t="str">
        <f t="shared" si="884"/>
        <v>CH</v>
      </c>
      <c r="D1464" t="s">
        <v>1456</v>
      </c>
      <c r="E1464" t="s">
        <v>1230</v>
      </c>
      <c r="F1464" s="1" t="str">
        <f t="shared" ref="F1464:K1464" si="892">IFERROR(F1440/F1406,"-")</f>
        <v>-</v>
      </c>
      <c r="G1464" s="1" t="str">
        <f t="shared" si="892"/>
        <v>-</v>
      </c>
      <c r="H1464" s="1" t="str">
        <f t="shared" si="892"/>
        <v>-</v>
      </c>
      <c r="I1464" s="1">
        <f t="shared" si="892"/>
        <v>0.16910151451049615</v>
      </c>
      <c r="J1464" s="1">
        <f t="shared" si="892"/>
        <v>0.18578676301340294</v>
      </c>
      <c r="K1464" s="1">
        <f t="shared" si="892"/>
        <v>0.21027423568852072</v>
      </c>
    </row>
    <row r="1465" spans="2:11" x14ac:dyDescent="0.25">
      <c r="B1465" s="5" t="str">
        <f t="shared" si="887"/>
        <v>SPS3</v>
      </c>
      <c r="C1465" s="5" t="str">
        <f t="shared" si="884"/>
        <v>CH</v>
      </c>
      <c r="D1465" t="s">
        <v>1457</v>
      </c>
      <c r="E1465" t="s">
        <v>1230</v>
      </c>
      <c r="F1465" s="1" t="str">
        <f t="shared" ref="F1465:K1465" si="893">IFERROR(F1441/F1407,"-")</f>
        <v>-</v>
      </c>
      <c r="G1465" s="1" t="str">
        <f t="shared" si="893"/>
        <v>-</v>
      </c>
      <c r="H1465" s="1" t="str">
        <f t="shared" si="893"/>
        <v>-</v>
      </c>
      <c r="I1465" s="1">
        <f t="shared" si="893"/>
        <v>0.11310839137372294</v>
      </c>
      <c r="J1465" s="1">
        <f t="shared" si="893"/>
        <v>0.12630036850748491</v>
      </c>
      <c r="K1465" s="1">
        <f t="shared" si="893"/>
        <v>0.14653400201590283</v>
      </c>
    </row>
    <row r="1466" spans="2:11" x14ac:dyDescent="0.25">
      <c r="B1466" s="5" t="str">
        <f t="shared" si="887"/>
        <v>SPS3</v>
      </c>
      <c r="C1466" s="5" t="str">
        <f t="shared" si="884"/>
        <v>CH</v>
      </c>
      <c r="D1466" t="s">
        <v>1458</v>
      </c>
      <c r="E1466" t="s">
        <v>1230</v>
      </c>
      <c r="F1466" s="1" t="str">
        <f t="shared" ref="F1466:K1466" si="894">IFERROR(F1442/F1408,"-")</f>
        <v>-</v>
      </c>
      <c r="G1466" s="1" t="str">
        <f t="shared" si="894"/>
        <v>-</v>
      </c>
      <c r="H1466" s="1" t="str">
        <f t="shared" si="894"/>
        <v>-</v>
      </c>
      <c r="I1466" s="1">
        <f t="shared" si="894"/>
        <v>7.5896650184428829E-2</v>
      </c>
      <c r="J1466" s="1">
        <f t="shared" si="894"/>
        <v>8.4881294990662423E-2</v>
      </c>
      <c r="K1466" s="1">
        <f t="shared" si="894"/>
        <v>9.7889264153195585E-2</v>
      </c>
    </row>
    <row r="1467" spans="2:11" x14ac:dyDescent="0.25">
      <c r="B1467" s="5" t="str">
        <f t="shared" si="887"/>
        <v>SPS3</v>
      </c>
      <c r="C1467" s="5" t="str">
        <f t="shared" si="884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895">IFERROR(G1443/G1414,"-")</f>
        <v>0.16251369968883853</v>
      </c>
      <c r="H1467" s="1">
        <f t="shared" si="895"/>
        <v>0.16618046444274306</v>
      </c>
      <c r="I1467" s="1">
        <f t="shared" si="895"/>
        <v>0.180757255530127</v>
      </c>
      <c r="J1467" s="1">
        <f t="shared" si="895"/>
        <v>0.19970804116538138</v>
      </c>
      <c r="K1467" s="1">
        <f t="shared" si="895"/>
        <v>0.22215326978445227</v>
      </c>
    </row>
    <row r="1468" spans="2:11" x14ac:dyDescent="0.25">
      <c r="B1468" s="5" t="str">
        <f t="shared" si="887"/>
        <v>SPS3</v>
      </c>
      <c r="C1468" s="5" t="str">
        <f t="shared" si="884"/>
        <v>CH</v>
      </c>
      <c r="D1468" t="s">
        <v>1460</v>
      </c>
      <c r="E1468" t="s">
        <v>1230</v>
      </c>
      <c r="F1468" s="1" t="str">
        <f t="shared" ref="F1468:K1468" si="896">IFERROR(F1444/F1415,"-")</f>
        <v>-</v>
      </c>
      <c r="G1468" s="1">
        <f t="shared" si="896"/>
        <v>0.11649393435744138</v>
      </c>
      <c r="H1468" s="1">
        <f t="shared" si="896"/>
        <v>0.12209145805060646</v>
      </c>
      <c r="I1468" s="1">
        <f t="shared" si="896"/>
        <v>0.13109170946670118</v>
      </c>
      <c r="J1468" s="1">
        <f t="shared" si="896"/>
        <v>0.14372625995669605</v>
      </c>
      <c r="K1468" s="1">
        <f t="shared" si="896"/>
        <v>0.14680097469367778</v>
      </c>
    </row>
    <row r="1469" spans="2:11" x14ac:dyDescent="0.25">
      <c r="B1469" s="5" t="str">
        <f t="shared" si="887"/>
        <v>SPS3</v>
      </c>
      <c r="C1469" s="5" t="str">
        <f t="shared" si="884"/>
        <v>CH</v>
      </c>
      <c r="D1469" t="s">
        <v>1461</v>
      </c>
      <c r="E1469" t="s">
        <v>1230</v>
      </c>
      <c r="F1469" s="1" t="str">
        <f t="shared" ref="F1469:K1469" si="897">IFERROR(F1445/F1416,"-")</f>
        <v>-</v>
      </c>
      <c r="G1469" s="1">
        <f t="shared" si="897"/>
        <v>7.8235828164578899E-2</v>
      </c>
      <c r="H1469" s="1">
        <f t="shared" si="897"/>
        <v>8.1739887803997546E-2</v>
      </c>
      <c r="I1469" s="1">
        <f t="shared" si="897"/>
        <v>8.8683502509068951E-2</v>
      </c>
      <c r="J1469" s="1">
        <f t="shared" si="897"/>
        <v>9.741090834872726E-2</v>
      </c>
      <c r="K1469" s="1">
        <f t="shared" si="897"/>
        <v>9.8910765062406258E-2</v>
      </c>
    </row>
    <row r="1470" spans="2:11" x14ac:dyDescent="0.25">
      <c r="B1470" s="5" t="str">
        <f t="shared" si="887"/>
        <v>SPS3</v>
      </c>
      <c r="C1470" s="5" t="str">
        <f t="shared" si="884"/>
        <v>CH</v>
      </c>
      <c r="D1470" t="s">
        <v>1462</v>
      </c>
      <c r="E1470" t="s">
        <v>1230</v>
      </c>
      <c r="F1470" s="1" t="str">
        <f t="shared" ref="F1470:K1470" si="898">IFERROR(F1446/F1417,"-")</f>
        <v>-</v>
      </c>
      <c r="G1470" s="1">
        <f t="shared" si="898"/>
        <v>5.2751439830497709E-2</v>
      </c>
      <c r="H1470" s="1">
        <f t="shared" si="898"/>
        <v>5.390551661893267E-2</v>
      </c>
      <c r="I1470" s="1">
        <f t="shared" si="898"/>
        <v>5.7274707119171722E-2</v>
      </c>
      <c r="J1470" s="1">
        <f t="shared" si="898"/>
        <v>6.5293487532457423E-2</v>
      </c>
      <c r="K1470" s="1">
        <f t="shared" si="898"/>
        <v>7.2110203518742685E-2</v>
      </c>
    </row>
    <row r="1471" spans="2:11" x14ac:dyDescent="0.25">
      <c r="B1471" s="5" t="str">
        <f t="shared" si="887"/>
        <v>SPS3</v>
      </c>
      <c r="C1471" s="5" t="str">
        <f t="shared" si="884"/>
        <v>CH</v>
      </c>
      <c r="D1471" t="s">
        <v>2118</v>
      </c>
      <c r="E1471" t="s">
        <v>1230</v>
      </c>
      <c r="F1471" s="1">
        <f>IFERROR(F1447/F1418,"-")</f>
        <v>9.9502495941956663</v>
      </c>
      <c r="G1471" s="1">
        <f t="shared" ref="G1471:K1471" si="899">IFERROR(G1447/G1418,"-")</f>
        <v>7.9797266512003073</v>
      </c>
      <c r="H1471" s="1">
        <f t="shared" si="899"/>
        <v>5.0239422367072928</v>
      </c>
      <c r="I1471" s="1" t="str">
        <f t="shared" si="899"/>
        <v>-</v>
      </c>
      <c r="J1471" s="1" t="str">
        <f t="shared" si="899"/>
        <v>-</v>
      </c>
      <c r="K1471" s="1" t="str">
        <f t="shared" si="899"/>
        <v>-</v>
      </c>
    </row>
    <row r="1472" spans="2:11" x14ac:dyDescent="0.25">
      <c r="B1472" s="5" t="str">
        <f t="shared" si="887"/>
        <v>SPS3</v>
      </c>
      <c r="C1472" s="5" t="str">
        <f t="shared" si="884"/>
        <v>CH</v>
      </c>
      <c r="D1472" t="s">
        <v>1463</v>
      </c>
      <c r="E1472" t="s">
        <v>1230</v>
      </c>
      <c r="F1472" s="1">
        <f t="shared" ref="F1472:K1472" si="900">IFERROR(F1448/F1419,"-")</f>
        <v>0.12391916748597522</v>
      </c>
      <c r="G1472" s="1">
        <f t="shared" si="900"/>
        <v>0.12667647594046497</v>
      </c>
      <c r="H1472" s="1">
        <f t="shared" si="900"/>
        <v>0.1281784210597022</v>
      </c>
      <c r="I1472" s="1" t="str">
        <f t="shared" si="900"/>
        <v>-</v>
      </c>
      <c r="J1472" s="1" t="str">
        <f t="shared" si="900"/>
        <v>-</v>
      </c>
      <c r="K1472" s="1" t="str">
        <f t="shared" si="900"/>
        <v>-</v>
      </c>
    </row>
    <row r="1473" spans="2:11" x14ac:dyDescent="0.25">
      <c r="B1473" s="5" t="str">
        <f t="shared" si="887"/>
        <v>SPS3</v>
      </c>
      <c r="C1473" s="5" t="str">
        <f t="shared" si="884"/>
        <v>CH</v>
      </c>
      <c r="D1473" t="s">
        <v>1464</v>
      </c>
      <c r="E1473" t="s">
        <v>1230</v>
      </c>
      <c r="F1473" s="1">
        <f t="shared" ref="F1473:K1473" si="901">IFERROR(F1449/F1420,"-")</f>
        <v>8.7465847585616707E-2</v>
      </c>
      <c r="G1473" s="1">
        <f t="shared" si="901"/>
        <v>8.7811306377393344E-2</v>
      </c>
      <c r="H1473" s="1">
        <f t="shared" si="901"/>
        <v>8.7767447225657991E-2</v>
      </c>
      <c r="I1473" s="1" t="str">
        <f t="shared" si="901"/>
        <v>-</v>
      </c>
      <c r="J1473" s="1" t="str">
        <f t="shared" si="901"/>
        <v>-</v>
      </c>
      <c r="K1473" s="1" t="str">
        <f t="shared" si="901"/>
        <v>-</v>
      </c>
    </row>
    <row r="1474" spans="2:11" x14ac:dyDescent="0.25">
      <c r="B1474" s="5" t="str">
        <f t="shared" si="887"/>
        <v>SPS3</v>
      </c>
      <c r="C1474" s="5" t="str">
        <f t="shared" si="884"/>
        <v>CH</v>
      </c>
      <c r="D1474" t="s">
        <v>1465</v>
      </c>
      <c r="E1474" t="s">
        <v>1230</v>
      </c>
      <c r="F1474" s="1">
        <f t="shared" ref="F1474:K1474" si="902">IFERROR(F1450/F1421,"-")</f>
        <v>5.79495279865486E-2</v>
      </c>
      <c r="G1474" s="1">
        <f t="shared" si="902"/>
        <v>5.81787232787997E-2</v>
      </c>
      <c r="H1474" s="1">
        <f t="shared" si="902"/>
        <v>5.8153682425359544E-2</v>
      </c>
      <c r="I1474" s="1" t="str">
        <f t="shared" si="902"/>
        <v>-</v>
      </c>
      <c r="J1474" s="1">
        <f t="shared" si="902"/>
        <v>7.5170537347230268E-2</v>
      </c>
      <c r="K1474" s="1" t="str">
        <f t="shared" si="902"/>
        <v>-</v>
      </c>
    </row>
    <row r="1475" spans="2:11" x14ac:dyDescent="0.25">
      <c r="B1475" s="5" t="str">
        <f t="shared" si="887"/>
        <v>SPS3</v>
      </c>
      <c r="C1475" s="5" t="str">
        <f t="shared" si="884"/>
        <v>CH</v>
      </c>
      <c r="D1475" t="s">
        <v>1466</v>
      </c>
      <c r="E1475" t="s">
        <v>1230</v>
      </c>
      <c r="F1475" s="1">
        <f t="shared" ref="F1475:K1475" si="903">IFERROR(F1451/F1422,"-")</f>
        <v>3.8646481387947511E-2</v>
      </c>
      <c r="G1475" s="1">
        <f t="shared" si="903"/>
        <v>3.8954069627294634E-2</v>
      </c>
      <c r="H1475" s="1">
        <f t="shared" si="903"/>
        <v>3.9288928670883842E-2</v>
      </c>
      <c r="I1475" s="1" t="str">
        <f t="shared" si="903"/>
        <v>-</v>
      </c>
      <c r="J1475" s="1">
        <f t="shared" si="903"/>
        <v>5.0276157236679067E-2</v>
      </c>
      <c r="K1475" s="1" t="str">
        <f t="shared" si="903"/>
        <v>-</v>
      </c>
    </row>
    <row r="1476" spans="2:11" x14ac:dyDescent="0.25">
      <c r="B1476" s="5" t="str">
        <f t="shared" si="887"/>
        <v>SPS3</v>
      </c>
      <c r="C1476" s="5" t="str">
        <f t="shared" si="884"/>
        <v>CH</v>
      </c>
      <c r="D1476" t="s">
        <v>2121</v>
      </c>
      <c r="E1476" t="s">
        <v>1230</v>
      </c>
      <c r="F1476" s="1">
        <f>IFERROR(F1452/F1428,"-")</f>
        <v>9.9502495941956592</v>
      </c>
      <c r="G1476" s="1">
        <f t="shared" ref="G1476:K1476" si="904">IFERROR(G1452/G1428,"-")</f>
        <v>7.9767976048237408</v>
      </c>
      <c r="H1476" s="1">
        <f t="shared" si="904"/>
        <v>5.016619620765872</v>
      </c>
      <c r="I1476" s="1" t="str">
        <f t="shared" si="904"/>
        <v>-</v>
      </c>
      <c r="J1476" s="1" t="str">
        <f t="shared" si="904"/>
        <v>-</v>
      </c>
      <c r="K1476" s="1" t="str">
        <f t="shared" si="904"/>
        <v>-</v>
      </c>
    </row>
    <row r="1477" spans="2:11" x14ac:dyDescent="0.25">
      <c r="B1477" s="5" t="str">
        <f t="shared" si="887"/>
        <v>SPS3</v>
      </c>
      <c r="C1477" s="5" t="str">
        <f t="shared" si="884"/>
        <v>CH</v>
      </c>
      <c r="D1477" t="s">
        <v>1467</v>
      </c>
      <c r="E1477" t="s">
        <v>1230</v>
      </c>
      <c r="F1477" s="1" t="str">
        <f t="shared" ref="F1477:K1477" si="905">IFERROR(F1453/F1429,"-")</f>
        <v>-</v>
      </c>
      <c r="G1477" s="1">
        <f t="shared" si="905"/>
        <v>0.12023751974847212</v>
      </c>
      <c r="H1477" s="1">
        <f t="shared" si="905"/>
        <v>0.12389480855470417</v>
      </c>
      <c r="I1477" s="1" t="str">
        <f t="shared" si="905"/>
        <v>-</v>
      </c>
      <c r="J1477" s="1" t="str">
        <f t="shared" si="905"/>
        <v>-</v>
      </c>
      <c r="K1477" s="1" t="str">
        <f t="shared" si="905"/>
        <v>-</v>
      </c>
    </row>
    <row r="1478" spans="2:11" x14ac:dyDescent="0.25">
      <c r="B1478" s="5" t="str">
        <f t="shared" si="887"/>
        <v>SPS3</v>
      </c>
      <c r="C1478" s="5" t="str">
        <f t="shared" si="884"/>
        <v>CH</v>
      </c>
      <c r="D1478" t="s">
        <v>1468</v>
      </c>
      <c r="E1478" t="s">
        <v>1230</v>
      </c>
      <c r="F1478" s="1" t="str">
        <f t="shared" ref="F1478:K1478" si="906">IFERROR(F1454/F1430,"-")</f>
        <v>-</v>
      </c>
      <c r="G1478" s="1">
        <f t="shared" si="906"/>
        <v>8.4998076233608902E-2</v>
      </c>
      <c r="H1478" s="1">
        <f t="shared" si="906"/>
        <v>8.7865629844341736E-2</v>
      </c>
      <c r="I1478" s="1" t="str">
        <f t="shared" si="906"/>
        <v>-</v>
      </c>
      <c r="J1478" s="1" t="str">
        <f t="shared" si="906"/>
        <v>-</v>
      </c>
      <c r="K1478" s="1" t="str">
        <f t="shared" si="906"/>
        <v>-</v>
      </c>
    </row>
    <row r="1479" spans="2:11" x14ac:dyDescent="0.25">
      <c r="B1479" s="5" t="str">
        <f t="shared" si="887"/>
        <v>SPS3</v>
      </c>
      <c r="C1479" s="5" t="str">
        <f t="shared" si="884"/>
        <v>CH</v>
      </c>
      <c r="D1479" t="s">
        <v>1469</v>
      </c>
      <c r="E1479" t="s">
        <v>1230</v>
      </c>
      <c r="F1479" s="1" t="str">
        <f t="shared" ref="F1479:K1479" si="907">IFERROR(F1455/F1431,"-")</f>
        <v>-</v>
      </c>
      <c r="G1479" s="1">
        <f t="shared" si="907"/>
        <v>5.642213346123711E-2</v>
      </c>
      <c r="H1479" s="1">
        <f t="shared" si="907"/>
        <v>5.812542071841479E-2</v>
      </c>
      <c r="I1479" s="1" t="str">
        <f t="shared" si="907"/>
        <v>-</v>
      </c>
      <c r="J1479" s="1" t="str">
        <f t="shared" si="907"/>
        <v>-</v>
      </c>
      <c r="K1479" s="1" t="str">
        <f t="shared" si="907"/>
        <v>-</v>
      </c>
    </row>
    <row r="1480" spans="2:11" x14ac:dyDescent="0.25">
      <c r="B1480" s="5" t="str">
        <f t="shared" si="887"/>
        <v>SPS3</v>
      </c>
      <c r="C1480" s="5" t="str">
        <f t="shared" si="884"/>
        <v>CH</v>
      </c>
      <c r="D1480" t="s">
        <v>1470</v>
      </c>
      <c r="E1480" t="s">
        <v>1230</v>
      </c>
      <c r="F1480" s="1" t="str">
        <f t="shared" ref="F1480:K1480" si="908">IFERROR(F1456/F1432,"-")</f>
        <v>-</v>
      </c>
      <c r="G1480" s="1">
        <f t="shared" si="908"/>
        <v>3.7689157759834377E-2</v>
      </c>
      <c r="H1480" s="1">
        <f t="shared" si="908"/>
        <v>3.8782914799184047E-2</v>
      </c>
      <c r="I1480" s="1" t="str">
        <f t="shared" si="908"/>
        <v>-</v>
      </c>
      <c r="J1480" s="1" t="str">
        <f t="shared" si="908"/>
        <v>-</v>
      </c>
      <c r="K1480" s="1" t="str">
        <f t="shared" si="908"/>
        <v>-</v>
      </c>
    </row>
    <row r="1481" spans="2:11" x14ac:dyDescent="0.25">
      <c r="B1481" s="9" t="str">
        <f t="shared" si="887"/>
        <v>SPS3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09">G1482</f>
        <v>0.30572256601970044</v>
      </c>
      <c r="H1481" s="3">
        <f t="shared" si="909"/>
        <v>0.35149986092475399</v>
      </c>
      <c r="I1481" s="3">
        <f t="shared" si="909"/>
        <v>0.45078090930791764</v>
      </c>
      <c r="J1481" s="3">
        <f t="shared" si="909"/>
        <v>0.47237229295618205</v>
      </c>
      <c r="K1481" s="3">
        <f t="shared" si="909"/>
        <v>0.48809144422268164</v>
      </c>
    </row>
    <row r="1482" spans="2:11" x14ac:dyDescent="0.25">
      <c r="B1482" s="5" t="str">
        <f t="shared" si="887"/>
        <v>SPS3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10">G1483</f>
        <v>0.30572256601970044</v>
      </c>
      <c r="H1482" s="1">
        <f t="shared" si="910"/>
        <v>0.35149986092475399</v>
      </c>
      <c r="I1482" s="1">
        <f t="shared" si="910"/>
        <v>0.45078090930791764</v>
      </c>
      <c r="J1482" s="1">
        <f t="shared" si="910"/>
        <v>0.47237229295618205</v>
      </c>
      <c r="K1482" s="1">
        <f t="shared" si="910"/>
        <v>0.48809144422268164</v>
      </c>
    </row>
    <row r="1483" spans="2:11" x14ac:dyDescent="0.25">
      <c r="B1483" s="5" t="str">
        <f t="shared" si="887"/>
        <v>SPS3</v>
      </c>
      <c r="C1483" s="5" t="str">
        <f t="shared" ref="C1483" si="911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si="887"/>
        <v>SPS3</v>
      </c>
      <c r="C1484" s="9" t="str">
        <f t="shared" ref="B1484:C1487" si="912">C1483</f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13">G1485</f>
        <v>2.7694845980498664E-2</v>
      </c>
      <c r="H1484" s="3">
        <f t="shared" si="913"/>
        <v>2.8832315767707572E-2</v>
      </c>
      <c r="I1484" s="3">
        <f t="shared" si="913"/>
        <v>3.0543631535415186E-2</v>
      </c>
      <c r="J1484" s="3">
        <f t="shared" si="913"/>
        <v>3.2006602244411902E-2</v>
      </c>
      <c r="K1484" s="3">
        <f t="shared" si="913"/>
        <v>3.3071687199031086E-2</v>
      </c>
    </row>
    <row r="1485" spans="2:11" x14ac:dyDescent="0.25">
      <c r="B1485" s="5" t="str">
        <f t="shared" si="887"/>
        <v>SPS3</v>
      </c>
      <c r="C1485" s="5" t="str">
        <f t="shared" si="912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887"/>
        <v>SPS3</v>
      </c>
      <c r="C1486" s="9" t="str">
        <f t="shared" si="912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887"/>
        <v>SPS3</v>
      </c>
      <c r="C1487" s="5" t="str">
        <f t="shared" si="912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14">G1485/G1483</f>
        <v>9.058816410272455E-2</v>
      </c>
      <c r="H1487" s="1">
        <f t="shared" si="914"/>
        <v>8.2026535350122776E-2</v>
      </c>
      <c r="I1487" s="1">
        <f t="shared" si="914"/>
        <v>6.7757154095786171E-2</v>
      </c>
      <c r="J1487" s="1">
        <f t="shared" si="914"/>
        <v>6.7757154095786226E-2</v>
      </c>
      <c r="K1487" s="1">
        <f t="shared" si="914"/>
        <v>6.7757154095786226E-2</v>
      </c>
    </row>
    <row r="1488" spans="2:11" x14ac:dyDescent="0.25">
      <c r="B1488" s="9" t="str">
        <f t="shared" si="887"/>
        <v>SPS3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15">G1489</f>
        <v>0.6125507323013607</v>
      </c>
      <c r="H1488" s="3">
        <f t="shared" ref="H1488:H1489" si="916">H1489</f>
        <v>0.65830556959273911</v>
      </c>
      <c r="I1488" s="3">
        <f t="shared" ref="I1488:I1489" si="917">I1489</f>
        <v>0.7379148962536346</v>
      </c>
      <c r="J1488" s="3">
        <f t="shared" ref="J1488:J1489" si="918">J1489</f>
        <v>0.77325934733858914</v>
      </c>
      <c r="K1488" s="3">
        <f t="shared" ref="K1488:K1489" si="919">K1489</f>
        <v>0.79899112903654423</v>
      </c>
    </row>
    <row r="1489" spans="2:11" x14ac:dyDescent="0.25">
      <c r="B1489" s="5" t="str">
        <f t="shared" si="887"/>
        <v>SPS3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15"/>
        <v>0.6125507323013607</v>
      </c>
      <c r="H1489" s="1">
        <f t="shared" si="916"/>
        <v>0.65830556959273911</v>
      </c>
      <c r="I1489" s="1">
        <f t="shared" si="917"/>
        <v>0.7379148962536346</v>
      </c>
      <c r="J1489" s="1">
        <f t="shared" si="918"/>
        <v>0.77325934733858914</v>
      </c>
      <c r="K1489" s="1">
        <f t="shared" si="919"/>
        <v>0.79899112903654423</v>
      </c>
    </row>
    <row r="1490" spans="2:11" x14ac:dyDescent="0.25">
      <c r="B1490" s="5" t="str">
        <f t="shared" si="887"/>
        <v>SPS3</v>
      </c>
      <c r="C1490" s="5" t="str">
        <f t="shared" ref="C1490" si="920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si="887"/>
        <v>SPS3</v>
      </c>
      <c r="C1491" s="9" t="str">
        <f t="shared" ref="B1491:C1495" si="921">C1490</f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22">G1492</f>
        <v>3.4100101820365179E-2</v>
      </c>
      <c r="H1491" s="3">
        <f t="shared" ref="H1491" si="923">H1492</f>
        <v>3.5370833501607003E-2</v>
      </c>
      <c r="I1491" s="3">
        <f t="shared" ref="I1491" si="924">I1492</f>
        <v>3.726366700321395E-2</v>
      </c>
      <c r="J1491" s="3">
        <f t="shared" ref="J1491" si="925">J1492</f>
        <v>3.9048512196511807E-2</v>
      </c>
      <c r="K1491" s="3">
        <f t="shared" ref="K1491" si="926">K1492</f>
        <v>4.0347931071859175E-2</v>
      </c>
    </row>
    <row r="1492" spans="2:11" x14ac:dyDescent="0.25">
      <c r="B1492" s="5" t="str">
        <f t="shared" si="887"/>
        <v>SPS3</v>
      </c>
      <c r="C1492" s="5" t="str">
        <f t="shared" si="921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887"/>
        <v>SPS3</v>
      </c>
      <c r="C1493" s="9" t="str">
        <f t="shared" si="921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887"/>
        <v>SPS3</v>
      </c>
      <c r="C1494" s="5" t="str">
        <f t="shared" si="921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27">G1492/G1490</f>
        <v>5.5669024657354786E-2</v>
      </c>
      <c r="H1494" s="1">
        <f t="shared" si="927"/>
        <v>5.3730114304652132E-2</v>
      </c>
      <c r="I1494" s="1">
        <f t="shared" si="927"/>
        <v>5.049859705014785E-2</v>
      </c>
      <c r="J1494" s="1">
        <f t="shared" si="927"/>
        <v>5.0498597050147948E-2</v>
      </c>
      <c r="K1494" s="1">
        <f t="shared" si="927"/>
        <v>5.0498597050147906E-2</v>
      </c>
    </row>
    <row r="1495" spans="2:11" x14ac:dyDescent="0.25">
      <c r="B1495" s="9" t="str">
        <f t="shared" si="887"/>
        <v>SPS3</v>
      </c>
      <c r="C1495" s="9" t="str">
        <f t="shared" si="921"/>
        <v>CH</v>
      </c>
      <c r="D1495" s="2" t="s">
        <v>1488</v>
      </c>
      <c r="E1495" s="2" t="s">
        <v>8</v>
      </c>
      <c r="F1495" s="3">
        <f>SUM(F1496,F1501,F1506)</f>
        <v>2.4123310781701623</v>
      </c>
      <c r="G1495" s="3">
        <f t="shared" ref="G1495:K1495" si="928">SUM(G1496,G1501,G1506)</f>
        <v>2.1675993095680854</v>
      </c>
      <c r="H1495" s="3">
        <f t="shared" si="928"/>
        <v>1.8770417948070559</v>
      </c>
      <c r="I1495" s="3">
        <f t="shared" si="928"/>
        <v>1.4873478313491983</v>
      </c>
      <c r="J1495" s="3">
        <f t="shared" si="928"/>
        <v>1.0506560444473017</v>
      </c>
      <c r="K1495" s="3">
        <f t="shared" si="928"/>
        <v>0.34716725052339548</v>
      </c>
    </row>
    <row r="1496" spans="2:11" x14ac:dyDescent="0.25">
      <c r="B1496" s="5" t="str">
        <f t="shared" si="887"/>
        <v>SPS3</v>
      </c>
      <c r="C1496" t="str">
        <f t="shared" ref="C1496:C1500" si="929">C1495</f>
        <v>CH</v>
      </c>
      <c r="D1496" t="s">
        <v>1489</v>
      </c>
      <c r="E1496" t="str">
        <f>E1495</f>
        <v>PJ/yr.</v>
      </c>
      <c r="F1496" s="1">
        <f>SUM(F1497:F1500)</f>
        <v>2.0913612263413549E-3</v>
      </c>
      <c r="G1496" s="1">
        <f t="shared" ref="G1496:K1496" si="930">SUM(G1497:G1500)</f>
        <v>3.1858909908667348E-3</v>
      </c>
      <c r="H1496" s="1">
        <f t="shared" si="930"/>
        <v>3.4582530884932961E-3</v>
      </c>
      <c r="I1496" s="1">
        <f t="shared" si="930"/>
        <v>3.2202267551481897E-3</v>
      </c>
      <c r="J1496" s="1">
        <f t="shared" si="930"/>
        <v>1.4669280765453004E-3</v>
      </c>
      <c r="K1496" s="1">
        <f t="shared" si="930"/>
        <v>0.12085438120023359</v>
      </c>
    </row>
    <row r="1497" spans="2:11" x14ac:dyDescent="0.25">
      <c r="B1497" t="str">
        <f t="shared" si="887"/>
        <v>SPS3</v>
      </c>
      <c r="C1497" t="str">
        <f t="shared" si="929"/>
        <v>CH</v>
      </c>
      <c r="D1497" t="s">
        <v>1490</v>
      </c>
      <c r="E1497" t="str">
        <f t="shared" ref="E1497:E1500" si="931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1.5688231916801913E-3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2.3589016785148433E-3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2.491294793637135E-3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2.1448072353676632E-3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6.5476662816165104E-4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0.12037828827525841</v>
      </c>
    </row>
    <row r="1498" spans="2:11" x14ac:dyDescent="0.25">
      <c r="B1498" t="str">
        <f t="shared" si="887"/>
        <v>SPS3</v>
      </c>
      <c r="C1498" t="str">
        <f t="shared" si="929"/>
        <v>CH</v>
      </c>
      <c r="D1498" t="s">
        <v>1491</v>
      </c>
      <c r="E1498" t="str">
        <f t="shared" si="931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3.590907033679108E-4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4.9991685325549544E-4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5.4260834206456936E-4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5.5187765659164216E-4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2.219658425625604E-4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1.4781376711475152E-4</v>
      </c>
    </row>
    <row r="1499" spans="2:11" x14ac:dyDescent="0.25">
      <c r="B1499" t="str">
        <f t="shared" si="887"/>
        <v>SPS3</v>
      </c>
      <c r="C1499" t="str">
        <f t="shared" si="929"/>
        <v>CH</v>
      </c>
      <c r="D1499" t="s">
        <v>1493</v>
      </c>
      <c r="E1499" t="str">
        <f t="shared" si="931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8.6354274229541127E-5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1.7610760794516293E-4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2.1754054275782819E-4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2.6774358018476251E-4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2.4570529856002315E-4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1.2315897367298087E-4</v>
      </c>
    </row>
    <row r="1500" spans="2:11" x14ac:dyDescent="0.25">
      <c r="B1500" t="str">
        <f t="shared" si="887"/>
        <v>SPS3</v>
      </c>
      <c r="C1500" t="str">
        <f t="shared" si="929"/>
        <v>CH</v>
      </c>
      <c r="D1500" t="s">
        <v>1492</v>
      </c>
      <c r="E1500" t="str">
        <f t="shared" si="931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7.7093057063711505E-5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1.5096485115123309E-4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2.0680941003376347E-4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2.5579828300412166E-4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3.444903072610658E-4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2.0512018418743366E-4</v>
      </c>
    </row>
    <row r="1501" spans="2:11" x14ac:dyDescent="0.25">
      <c r="B1501" s="5" t="str">
        <f t="shared" si="887"/>
        <v>SPS3</v>
      </c>
      <c r="C1501" t="str">
        <f t="shared" ref="C1501:C1505" si="932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33">SUM(G1502:G1505)</f>
        <v>0</v>
      </c>
      <c r="H1501" s="1">
        <f t="shared" si="933"/>
        <v>0</v>
      </c>
      <c r="I1501" s="1">
        <f t="shared" si="933"/>
        <v>1.6122918541402559E-4</v>
      </c>
      <c r="J1501" s="1">
        <f t="shared" si="933"/>
        <v>4.5079722251759415E-4</v>
      </c>
      <c r="K1501" s="1">
        <f t="shared" si="933"/>
        <v>3.7698775259211202E-4</v>
      </c>
    </row>
    <row r="1502" spans="2:11" x14ac:dyDescent="0.25">
      <c r="B1502" t="str">
        <f t="shared" si="887"/>
        <v>SPS3</v>
      </c>
      <c r="C1502" t="str">
        <f t="shared" si="932"/>
        <v>CH</v>
      </c>
      <c r="D1502" t="s">
        <v>1495</v>
      </c>
      <c r="E1502" t="str">
        <f t="shared" ref="E1502:E1505" si="93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5.7539070112569063E-5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1.4863602823587789E-4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1.123734788912451E-4</v>
      </c>
    </row>
    <row r="1503" spans="2:11" x14ac:dyDescent="0.25">
      <c r="B1503" t="str">
        <f t="shared" si="887"/>
        <v>SPS3</v>
      </c>
      <c r="C1503" t="str">
        <f t="shared" si="932"/>
        <v>CH</v>
      </c>
      <c r="D1503" t="s">
        <v>1496</v>
      </c>
      <c r="E1503" t="str">
        <f t="shared" si="93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4.4882493078066145E-5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1.2531070892024841E-4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8.7578110650857259E-5</v>
      </c>
    </row>
    <row r="1504" spans="2:11" x14ac:dyDescent="0.25">
      <c r="B1504" t="str">
        <f t="shared" si="887"/>
        <v>SPS3</v>
      </c>
      <c r="C1504" t="str">
        <f t="shared" si="932"/>
        <v>CH</v>
      </c>
      <c r="D1504" t="s">
        <v>1497</v>
      </c>
      <c r="E1504" t="str">
        <f t="shared" si="93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3.7737122269078185E-5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1.0882346445132679E-4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1.0019155375157707E-4</v>
      </c>
    </row>
    <row r="1505" spans="2:11" x14ac:dyDescent="0.25">
      <c r="B1505" t="str">
        <f t="shared" si="887"/>
        <v>SPS3</v>
      </c>
      <c r="C1505" t="str">
        <f t="shared" si="932"/>
        <v>CH</v>
      </c>
      <c r="D1505" t="s">
        <v>1498</v>
      </c>
      <c r="E1505" t="str">
        <f t="shared" si="93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2.1070499954312216E-5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6.8027020910141041E-5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7.6844609298432575E-5</v>
      </c>
    </row>
    <row r="1506" spans="2:11" x14ac:dyDescent="0.25">
      <c r="B1506" s="5" t="str">
        <f t="shared" si="887"/>
        <v>SPS3</v>
      </c>
      <c r="C1506" t="str">
        <f t="shared" ref="C1506:C1516" si="935">C1505</f>
        <v>CH</v>
      </c>
      <c r="D1506" t="s">
        <v>1499</v>
      </c>
      <c r="E1506" t="str">
        <f>E1505</f>
        <v>PJ/yr.</v>
      </c>
      <c r="F1506" s="1">
        <f>SUM(F1511:F1515)</f>
        <v>2.410239716943821</v>
      </c>
      <c r="G1506" s="1">
        <f t="shared" ref="G1506:K1506" si="936">SUM(G1511:G1515)</f>
        <v>2.1644134185772188</v>
      </c>
      <c r="H1506" s="1">
        <f t="shared" si="936"/>
        <v>1.8735835417185627</v>
      </c>
      <c r="I1506" s="1">
        <f t="shared" si="936"/>
        <v>1.4839663754086361</v>
      </c>
      <c r="J1506" s="1">
        <f t="shared" si="936"/>
        <v>1.0487383191482387</v>
      </c>
      <c r="K1506" s="1">
        <f t="shared" si="936"/>
        <v>0.22593588157056979</v>
      </c>
    </row>
    <row r="1507" spans="2:11" x14ac:dyDescent="0.25">
      <c r="B1507" s="5" t="str">
        <f t="shared" si="887"/>
        <v>SPS3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2.2782993243726533</v>
      </c>
      <c r="G1507" s="1">
        <f t="shared" ref="G1507:K1507" si="937">G1506-G1508</f>
        <v>2.0459297193315908</v>
      </c>
      <c r="H1507" s="1">
        <f t="shared" si="937"/>
        <v>1.7703225556447781</v>
      </c>
      <c r="I1507" s="1">
        <f t="shared" si="937"/>
        <v>1.3292410994637698</v>
      </c>
      <c r="J1507" s="1">
        <f t="shared" si="937"/>
        <v>0.61546663140804214</v>
      </c>
      <c r="K1507" s="1">
        <f t="shared" si="937"/>
        <v>-6.3499879711073626E-4</v>
      </c>
    </row>
    <row r="1508" spans="2:11" x14ac:dyDescent="0.25">
      <c r="B1508" s="5" t="str">
        <f t="shared" si="887"/>
        <v>SPS3</v>
      </c>
      <c r="C1508" s="5" t="str">
        <f t="shared" ref="C1508:C1510" si="938">C1507</f>
        <v>CH</v>
      </c>
      <c r="D1508" t="s">
        <v>1501</v>
      </c>
      <c r="E1508" t="str">
        <f>E1507</f>
        <v>PJ/yr.</v>
      </c>
      <c r="F1508" s="1">
        <f>SUM(F1509:F1510)</f>
        <v>0.13194039257116766</v>
      </c>
      <c r="G1508" s="1">
        <f t="shared" ref="G1508" si="939">SUM(G1509:G1510)</f>
        <v>0.11848369924562779</v>
      </c>
      <c r="H1508" s="1">
        <f t="shared" ref="H1508" si="940">SUM(H1509:H1510)</f>
        <v>0.10326098607378449</v>
      </c>
      <c r="I1508" s="1">
        <f t="shared" ref="I1508" si="941">SUM(I1509:I1510)</f>
        <v>0.15472527594486638</v>
      </c>
      <c r="J1508" s="1">
        <f t="shared" ref="J1508" si="942">SUM(J1509:J1510)</f>
        <v>0.43327168774019653</v>
      </c>
      <c r="K1508" s="1">
        <f t="shared" ref="K1508" si="943">SUM(K1509:K1510)</f>
        <v>0.22657088036768053</v>
      </c>
    </row>
    <row r="1509" spans="2:11" x14ac:dyDescent="0.25">
      <c r="B1509" s="5" t="str">
        <f t="shared" si="887"/>
        <v>SPS3</v>
      </c>
      <c r="C1509" s="5" t="str">
        <f t="shared" si="938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0.13194039257116766</v>
      </c>
      <c r="G1509" s="1">
        <f>[1]Transport!C$25/SUM([1]Transport!C$21,[1]Transport!C$25)*G1506*(G$34+G$598)/(G$34+G$598+G$37)</f>
        <v>0.11848369924562779</v>
      </c>
      <c r="H1509" s="1">
        <f>[1]Transport!D$25/SUM([1]Transport!D$21,[1]Transport!D$25)*H1506*(H$34+H$598)/(H$34+H$598+H$37)</f>
        <v>0.10326098607378449</v>
      </c>
      <c r="I1509" s="1">
        <f>[1]Transport!E$25/SUM([1]Transport!E$21,[1]Transport!E$25)*I1506*(I$34+I$598)/(I$34+I$598+I$37)</f>
        <v>0.15472527594486638</v>
      </c>
      <c r="J1509" s="1">
        <f>[1]Transport!F$25/SUM([1]Transport!F$21,[1]Transport!F$25)*J1506*(J$34+J$598)/(J$34+J$598+J$37)</f>
        <v>0.18533715093053638</v>
      </c>
      <c r="K1509" s="1">
        <f>[1]Transport!G$25/SUM([1]Transport!G$21,[1]Transport!G$25)*K1506*(K$34+K$598)/(K$34+K$598+K$37)</f>
        <v>0.18336282263106837</v>
      </c>
    </row>
    <row r="1510" spans="2:11" x14ac:dyDescent="0.25">
      <c r="B1510" s="5" t="str">
        <f t="shared" si="887"/>
        <v>SPS3</v>
      </c>
      <c r="C1510" s="5" t="str">
        <f t="shared" si="938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0.24793453680966013</v>
      </c>
      <c r="K1510" s="1">
        <f>(K$37+K$717)/([1]Transport!G$21+[1]Transport!G$25)*K1506</f>
        <v>4.3208057736612161E-2</v>
      </c>
    </row>
    <row r="1511" spans="2:11" x14ac:dyDescent="0.25">
      <c r="B1511" t="str">
        <f t="shared" si="887"/>
        <v>SPS3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1.9805650387979206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1.5093610560664603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1.0363795190932423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0.45305639602952347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 t="shared" si="887"/>
        <v>SPS3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4.4172991582056578E-2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0.16808062684503886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0.34170890703768292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0.60656108021039035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0.88693541589651603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0.22352144481286007</v>
      </c>
    </row>
    <row r="1513" spans="2:11" x14ac:dyDescent="0.25">
      <c r="B1513" t="str">
        <f t="shared" si="887"/>
        <v>SPS3</v>
      </c>
      <c r="C1513" t="str">
        <f t="shared" si="935"/>
        <v>CH</v>
      </c>
      <c r="D1513" t="s">
        <v>1580</v>
      </c>
      <c r="E1513" t="str">
        <f t="shared" ref="E1513:E1515" si="944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0.11198972280795005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0.16299386183225886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0.16282574117156584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0.10162182451467845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6.1765228420633479E-4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3.0302720952770355E-4</v>
      </c>
    </row>
    <row r="1514" spans="2:11" x14ac:dyDescent="0.25">
      <c r="B1514" t="str">
        <f t="shared" si="887"/>
        <v>SPS3</v>
      </c>
      <c r="C1514" t="str">
        <f t="shared" si="935"/>
        <v>CH</v>
      </c>
      <c r="D1514" t="s">
        <v>1581</v>
      </c>
      <c r="E1514" t="str">
        <f t="shared" si="944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0.16578429501435923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0.19776715431222322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0.20320341126894131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0.19685550398856297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4.6359168841329547E-2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3.0451355930340271E-4</v>
      </c>
    </row>
    <row r="1515" spans="2:11" x14ac:dyDescent="0.25">
      <c r="B1515" t="str">
        <f t="shared" si="887"/>
        <v>SPS3</v>
      </c>
      <c r="C1515" t="str">
        <f t="shared" si="935"/>
        <v>CH</v>
      </c>
      <c r="D1515" t="s">
        <v>1582</v>
      </c>
      <c r="E1515" t="str">
        <f t="shared" si="944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0.1077276687415341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0.12621071952123766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0.12946596314713013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0.12587157066548088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0.11482608212618675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1.8068959888786059E-3</v>
      </c>
    </row>
    <row r="1516" spans="2:11" x14ac:dyDescent="0.25">
      <c r="B1516" s="9" t="str">
        <f t="shared" si="887"/>
        <v>SPS3</v>
      </c>
      <c r="C1516" s="9" t="str">
        <f t="shared" si="93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 t="shared" si="887"/>
        <v>SPS3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1.7412254099868928E-2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2.6210501725567409E-2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2.7700330701925367E-2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2.3962710466486185E-2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7.5801450602652606E-3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1.4341116792232766</v>
      </c>
    </row>
    <row r="1518" spans="2:11" x14ac:dyDescent="0.25">
      <c r="B1518" t="str">
        <f t="shared" si="887"/>
        <v>SPS3</v>
      </c>
      <c r="C1518" t="str">
        <f t="shared" ref="C1518:C1543" si="945">C1517</f>
        <v>CH</v>
      </c>
      <c r="D1518" t="s">
        <v>1506</v>
      </c>
      <c r="E1518" t="str">
        <f t="shared" ref="E1518:E1529" si="946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2.2567142738194579E-3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3.1446361984997649E-3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3.4179191915617441E-3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3.4884841407542152E-3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1.4509524969463416E-3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9.8199867731551312E-4</v>
      </c>
    </row>
    <row r="1519" spans="2:11" x14ac:dyDescent="0.25">
      <c r="B1519" t="str">
        <f t="shared" si="887"/>
        <v>SPS3</v>
      </c>
      <c r="C1519" t="str">
        <f t="shared" si="945"/>
        <v>CH</v>
      </c>
      <c r="D1519" t="s">
        <v>1507</v>
      </c>
      <c r="E1519" t="str">
        <f t="shared" si="946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3.532013538834149E-4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7.2196373813537904E-4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8.944004047999768E-4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1.1059239301911058E-3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1.0327494810175061E-3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5.3349037960176394E-4</v>
      </c>
    </row>
    <row r="1520" spans="2:11" x14ac:dyDescent="0.25">
      <c r="B1520" t="str">
        <f t="shared" si="887"/>
        <v>SPS3</v>
      </c>
      <c r="C1520" t="str">
        <f t="shared" si="945"/>
        <v>CH</v>
      </c>
      <c r="D1520" t="s">
        <v>1508</v>
      </c>
      <c r="E1520" t="str">
        <f t="shared" si="946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2.9025948300976409E-4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5.7003228169792946E-4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7.8416179523451638E-4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9.7486680120134053E-4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1.3299601923424066E-3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8.116185268309459E-4</v>
      </c>
    </row>
    <row r="1521" spans="2:11" x14ac:dyDescent="0.25">
      <c r="B1521" t="str">
        <f t="shared" si="887"/>
        <v>SPS3</v>
      </c>
      <c r="C1521" t="str">
        <f t="shared" si="945"/>
        <v>CH</v>
      </c>
      <c r="D1521" t="s">
        <v>1509</v>
      </c>
      <c r="E1521" t="str">
        <f t="shared" si="946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2.6693053290133544E-4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7.0483593372005907E-4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5.4711570201386602E-4</v>
      </c>
    </row>
    <row r="1522" spans="2:11" x14ac:dyDescent="0.25">
      <c r="B1522" t="str">
        <f t="shared" si="887"/>
        <v>SPS3</v>
      </c>
      <c r="C1522" t="str">
        <f t="shared" si="945"/>
        <v>CH</v>
      </c>
      <c r="D1522" t="s">
        <v>1510</v>
      </c>
      <c r="E1522" t="str">
        <f t="shared" si="946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1.2122253539461861E-4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3.4447992361756391E-4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2.4593179595766562E-4</v>
      </c>
    </row>
    <row r="1523" spans="2:11" x14ac:dyDescent="0.25">
      <c r="B1523" t="str">
        <f t="shared" si="887"/>
        <v>SPS3</v>
      </c>
      <c r="C1523" t="str">
        <f t="shared" si="945"/>
        <v>CH</v>
      </c>
      <c r="D1523" t="s">
        <v>1511</v>
      </c>
      <c r="E1523" t="str">
        <f t="shared" si="946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6.6441809044686696E-5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1.9450040506188609E-4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1.8242961607304104E-4</v>
      </c>
    </row>
    <row r="1524" spans="2:11" x14ac:dyDescent="0.25">
      <c r="B1524" t="str">
        <f t="shared" ref="B1524:B1587" si="947">B1523</f>
        <v>SPS3</v>
      </c>
      <c r="C1524" t="str">
        <f t="shared" si="945"/>
        <v>CH</v>
      </c>
      <c r="D1524" t="s">
        <v>1512</v>
      </c>
      <c r="E1524" t="str">
        <f t="shared" si="946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3.2912988581855651E-5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1.0821275681163559E-4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1.2416605406524226E-4</v>
      </c>
    </row>
    <row r="1525" spans="2:11" x14ac:dyDescent="0.25">
      <c r="B1525" t="str">
        <f t="shared" si="947"/>
        <v>SPS3</v>
      </c>
      <c r="C1525" t="str">
        <f t="shared" si="945"/>
        <v>CH</v>
      </c>
      <c r="D1525" t="s">
        <v>1513</v>
      </c>
      <c r="E1525" t="str">
        <f t="shared" si="946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1.5273426467887627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1.1882268770954705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0.84086462302862608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0.38579166946973087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47"/>
        <v>SPS3</v>
      </c>
      <c r="C1526" t="str">
        <f t="shared" si="945"/>
        <v>CH</v>
      </c>
      <c r="D1526" t="s">
        <v>1514</v>
      </c>
      <c r="E1526" t="str">
        <f t="shared" si="946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8.4276927678211655E-2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0.32283832153033226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0.66186555984892936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1.1964493865145251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1.8319722910199441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0.46454143250618685</v>
      </c>
    </row>
    <row r="1527" spans="2:11" x14ac:dyDescent="0.25">
      <c r="B1527" t="str">
        <f t="shared" si="947"/>
        <v>SPS3</v>
      </c>
      <c r="C1527" t="str">
        <f t="shared" si="945"/>
        <v>CH</v>
      </c>
      <c r="D1527" t="s">
        <v>1515</v>
      </c>
      <c r="E1527" t="str">
        <f t="shared" si="946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0.12349812098472006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0.17999410625325399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0.17981385582331921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0.11226075348053791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7.2977387426829087E-4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3.6723595640797532E-4</v>
      </c>
    </row>
    <row r="1528" spans="2:11" x14ac:dyDescent="0.25">
      <c r="B1528" t="str">
        <f t="shared" si="947"/>
        <v>SPS3</v>
      </c>
      <c r="C1528" t="str">
        <f t="shared" si="945"/>
        <v>CH</v>
      </c>
      <c r="D1528" t="s">
        <v>1516</v>
      </c>
      <c r="E1528" t="str">
        <f t="shared" si="946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0.12092753771609681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0.14440452604862125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0.14837624006806985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0.14374614490651094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3.3914123256940938E-2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2.4150579083058972E-4</v>
      </c>
    </row>
    <row r="1529" spans="2:11" x14ac:dyDescent="0.25">
      <c r="B1529" t="str">
        <f t="shared" si="947"/>
        <v>SPS3</v>
      </c>
      <c r="C1529" t="str">
        <f t="shared" si="945"/>
        <v>CH</v>
      </c>
      <c r="D1529" t="s">
        <v>1517</v>
      </c>
      <c r="E1529" t="str">
        <f t="shared" si="946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7.2802537929769595E-2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8.5370960650368172E-2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8.7574373936303379E-2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8.5145307113435806E-2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7.7688948503493852E-2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1.2370877928481354E-3</v>
      </c>
    </row>
    <row r="1530" spans="2:11" x14ac:dyDescent="0.25">
      <c r="B1530" s="9" t="str">
        <f t="shared" si="947"/>
        <v>SPS3</v>
      </c>
      <c r="C1530" s="9" t="str">
        <f t="shared" si="945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47"/>
        <v>SPS3</v>
      </c>
      <c r="C1531" t="str">
        <f t="shared" si="945"/>
        <v>CH</v>
      </c>
      <c r="D1531" t="s">
        <v>1520</v>
      </c>
      <c r="E1531" t="s">
        <v>1230</v>
      </c>
      <c r="F1531" s="1">
        <f t="shared" ref="F1531:K1534" si="948">IFERROR(F1517/F1497,"-")</f>
        <v>11.098927012431915</v>
      </c>
      <c r="G1531" s="1">
        <f t="shared" si="948"/>
        <v>11.111315899384774</v>
      </c>
      <c r="H1531" s="1">
        <f t="shared" si="948"/>
        <v>11.118849030902767</v>
      </c>
      <c r="I1531" s="1">
        <f t="shared" si="948"/>
        <v>11.17243082331289</v>
      </c>
      <c r="J1531" s="1">
        <f t="shared" si="948"/>
        <v>11.576865304738543</v>
      </c>
      <c r="K1531" s="1">
        <f t="shared" si="948"/>
        <v>11.913374909801176</v>
      </c>
    </row>
    <row r="1532" spans="2:11" x14ac:dyDescent="0.25">
      <c r="B1532" t="str">
        <f t="shared" si="947"/>
        <v>SPS3</v>
      </c>
      <c r="C1532" t="str">
        <f t="shared" si="945"/>
        <v>CH</v>
      </c>
      <c r="D1532" t="s">
        <v>1521</v>
      </c>
      <c r="E1532" t="s">
        <v>1230</v>
      </c>
      <c r="F1532" s="1">
        <f t="shared" si="948"/>
        <v>6.2845243629359953</v>
      </c>
      <c r="G1532" s="1">
        <f t="shared" si="948"/>
        <v>6.2903184359992306</v>
      </c>
      <c r="H1532" s="1">
        <f t="shared" si="948"/>
        <v>6.2990538968805945</v>
      </c>
      <c r="I1532" s="1">
        <f t="shared" si="948"/>
        <v>6.3211186375959656</v>
      </c>
      <c r="J1532" s="1">
        <f t="shared" si="948"/>
        <v>6.5368278298828573</v>
      </c>
      <c r="K1532" s="1">
        <f t="shared" si="948"/>
        <v>6.6434858977186</v>
      </c>
    </row>
    <row r="1533" spans="2:11" x14ac:dyDescent="0.25">
      <c r="B1533" t="str">
        <f t="shared" si="947"/>
        <v>SPS3</v>
      </c>
      <c r="C1533" t="str">
        <f t="shared" si="945"/>
        <v>CH</v>
      </c>
      <c r="D1533" t="s">
        <v>1522</v>
      </c>
      <c r="E1533" t="s">
        <v>1230</v>
      </c>
      <c r="F1533" s="1">
        <f t="shared" si="948"/>
        <v>4.0901432735634931</v>
      </c>
      <c r="G1533" s="1">
        <f t="shared" si="948"/>
        <v>4.0995601868613587</v>
      </c>
      <c r="H1533" s="1">
        <f t="shared" si="948"/>
        <v>4.1114193862964052</v>
      </c>
      <c r="I1533" s="1">
        <f t="shared" si="948"/>
        <v>4.1305338840540564</v>
      </c>
      <c r="J1533" s="1">
        <f t="shared" si="948"/>
        <v>4.2032039482665722</v>
      </c>
      <c r="K1533" s="1">
        <f t="shared" si="948"/>
        <v>4.3317215440453394</v>
      </c>
    </row>
    <row r="1534" spans="2:11" x14ac:dyDescent="0.25">
      <c r="B1534" t="str">
        <f t="shared" si="947"/>
        <v>SPS3</v>
      </c>
      <c r="C1534" t="str">
        <f t="shared" si="945"/>
        <v>CH</v>
      </c>
      <c r="D1534" t="s">
        <v>1523</v>
      </c>
      <c r="E1534" t="s">
        <v>1230</v>
      </c>
      <c r="F1534" s="1">
        <f t="shared" si="948"/>
        <v>3.7650534829600395</v>
      </c>
      <c r="G1534" s="1">
        <f t="shared" si="948"/>
        <v>3.7759271602029028</v>
      </c>
      <c r="H1534" s="1">
        <f t="shared" si="948"/>
        <v>3.7917123553831278</v>
      </c>
      <c r="I1534" s="1">
        <f t="shared" si="948"/>
        <v>3.8110764065825751</v>
      </c>
      <c r="J1534" s="1">
        <f t="shared" si="948"/>
        <v>3.860660704553641</v>
      </c>
      <c r="K1534" s="1">
        <f t="shared" si="948"/>
        <v>3.9567950372417244</v>
      </c>
    </row>
    <row r="1535" spans="2:11" x14ac:dyDescent="0.25">
      <c r="B1535" t="str">
        <f t="shared" si="947"/>
        <v>SPS3</v>
      </c>
      <c r="C1535" t="str">
        <f t="shared" si="945"/>
        <v>CH</v>
      </c>
      <c r="D1535" t="s">
        <v>1524</v>
      </c>
      <c r="E1535" t="s">
        <v>1230</v>
      </c>
      <c r="F1535" s="1" t="str">
        <f t="shared" ref="F1535:K1538" si="949">IFERROR(F1521/F1502,"-")</f>
        <v>-</v>
      </c>
      <c r="G1535" s="1" t="str">
        <f t="shared" si="949"/>
        <v>-</v>
      </c>
      <c r="H1535" s="1" t="str">
        <f t="shared" si="949"/>
        <v>-</v>
      </c>
      <c r="I1535" s="1">
        <f t="shared" si="949"/>
        <v>4.6391179485367813</v>
      </c>
      <c r="J1535" s="1">
        <f t="shared" si="949"/>
        <v>4.7420261566833579</v>
      </c>
      <c r="K1535" s="1">
        <f t="shared" si="949"/>
        <v>4.8687262102418654</v>
      </c>
    </row>
    <row r="1536" spans="2:11" x14ac:dyDescent="0.25">
      <c r="B1536" t="str">
        <f t="shared" si="947"/>
        <v>SPS3</v>
      </c>
      <c r="C1536" t="str">
        <f t="shared" si="945"/>
        <v>CH</v>
      </c>
      <c r="D1536" t="s">
        <v>1525</v>
      </c>
      <c r="E1536" t="s">
        <v>1230</v>
      </c>
      <c r="F1536" s="1" t="str">
        <f t="shared" si="949"/>
        <v>-</v>
      </c>
      <c r="G1536" s="1" t="str">
        <f t="shared" si="949"/>
        <v>-</v>
      </c>
      <c r="H1536" s="1" t="str">
        <f t="shared" si="949"/>
        <v>-</v>
      </c>
      <c r="I1536" s="1">
        <f t="shared" si="949"/>
        <v>2.7008868509993595</v>
      </c>
      <c r="J1536" s="1">
        <f t="shared" si="949"/>
        <v>2.7490062627991478</v>
      </c>
      <c r="K1536" s="1">
        <f t="shared" si="949"/>
        <v>2.8081422872675126</v>
      </c>
    </row>
    <row r="1537" spans="2:11" x14ac:dyDescent="0.25">
      <c r="B1537" t="str">
        <f t="shared" si="947"/>
        <v>SPS3</v>
      </c>
      <c r="C1537" t="str">
        <f t="shared" si="945"/>
        <v>CH</v>
      </c>
      <c r="D1537" t="s">
        <v>1526</v>
      </c>
      <c r="E1537" t="s">
        <v>1230</v>
      </c>
      <c r="F1537" s="1" t="str">
        <f t="shared" si="949"/>
        <v>-</v>
      </c>
      <c r="G1537" s="1" t="str">
        <f t="shared" si="949"/>
        <v>-</v>
      </c>
      <c r="H1537" s="1" t="str">
        <f t="shared" si="949"/>
        <v>-</v>
      </c>
      <c r="I1537" s="1">
        <f t="shared" si="949"/>
        <v>1.7606485351727295</v>
      </c>
      <c r="J1537" s="1">
        <f t="shared" si="949"/>
        <v>1.7873020863885456</v>
      </c>
      <c r="K1537" s="1">
        <f t="shared" si="949"/>
        <v>1.8208083340574954</v>
      </c>
    </row>
    <row r="1538" spans="2:11" x14ac:dyDescent="0.25">
      <c r="B1538" t="str">
        <f t="shared" si="947"/>
        <v>SPS3</v>
      </c>
      <c r="C1538" t="str">
        <f t="shared" si="945"/>
        <v>CH</v>
      </c>
      <c r="D1538" t="s">
        <v>1527</v>
      </c>
      <c r="E1538" t="s">
        <v>1230</v>
      </c>
      <c r="F1538" s="1" t="str">
        <f t="shared" si="949"/>
        <v>-</v>
      </c>
      <c r="G1538" s="1" t="str">
        <f t="shared" si="949"/>
        <v>-</v>
      </c>
      <c r="H1538" s="1" t="str">
        <f t="shared" si="949"/>
        <v>-</v>
      </c>
      <c r="I1538" s="1">
        <f t="shared" si="949"/>
        <v>1.5620411785777202</v>
      </c>
      <c r="J1538" s="1">
        <f t="shared" si="949"/>
        <v>1.5907319674424243</v>
      </c>
      <c r="K1538" s="1">
        <f t="shared" si="949"/>
        <v>1.6158069537842639</v>
      </c>
    </row>
    <row r="1539" spans="2:11" x14ac:dyDescent="0.25">
      <c r="B1539" t="str">
        <f t="shared" si="947"/>
        <v>SPS3</v>
      </c>
      <c r="C1539" t="str">
        <f t="shared" si="945"/>
        <v>CH</v>
      </c>
      <c r="D1539" t="s">
        <v>1583</v>
      </c>
      <c r="E1539" t="s">
        <v>1230</v>
      </c>
      <c r="F1539" s="1">
        <f t="shared" ref="F1539:K1543" si="950">IFERROR(F1525/F1511,"-")</f>
        <v>0.77116510534577776</v>
      </c>
      <c r="G1539" s="1">
        <f t="shared" si="950"/>
        <v>0.78723832996731991</v>
      </c>
      <c r="H1539" s="1">
        <f t="shared" si="950"/>
        <v>0.81134816689963374</v>
      </c>
      <c r="I1539" s="1">
        <f t="shared" si="950"/>
        <v>0.85153122845348972</v>
      </c>
      <c r="J1539" s="1" t="str">
        <f t="shared" si="950"/>
        <v>-</v>
      </c>
      <c r="K1539" s="1" t="str">
        <f t="shared" si="950"/>
        <v>-</v>
      </c>
    </row>
    <row r="1540" spans="2:11" x14ac:dyDescent="0.25">
      <c r="B1540" t="str">
        <f t="shared" si="947"/>
        <v>SPS3</v>
      </c>
      <c r="C1540" t="str">
        <f t="shared" si="945"/>
        <v>CH</v>
      </c>
      <c r="D1540" t="s">
        <v>1584</v>
      </c>
      <c r="E1540" t="s">
        <v>1230</v>
      </c>
      <c r="F1540" s="1">
        <f t="shared" si="950"/>
        <v>1.9078836334110914</v>
      </c>
      <c r="G1540" s="1">
        <f t="shared" si="950"/>
        <v>1.920734873436494</v>
      </c>
      <c r="H1540" s="1">
        <f t="shared" si="950"/>
        <v>1.936928029142478</v>
      </c>
      <c r="I1540" s="1">
        <f t="shared" si="950"/>
        <v>1.9725126216464919</v>
      </c>
      <c r="J1540" s="1">
        <f t="shared" si="950"/>
        <v>2.0655081059855784</v>
      </c>
      <c r="K1540" s="1">
        <f t="shared" si="950"/>
        <v>2.0782857452228671</v>
      </c>
    </row>
    <row r="1541" spans="2:11" x14ac:dyDescent="0.25">
      <c r="B1541" t="str">
        <f t="shared" si="947"/>
        <v>SPS3</v>
      </c>
      <c r="C1541" t="str">
        <f t="shared" si="945"/>
        <v>CH</v>
      </c>
      <c r="D1541" t="s">
        <v>1585</v>
      </c>
      <c r="E1541" t="s">
        <v>1230</v>
      </c>
      <c r="F1541" s="1">
        <f t="shared" si="950"/>
        <v>1.1027629847473204</v>
      </c>
      <c r="G1541" s="1">
        <f t="shared" si="950"/>
        <v>1.1042999057135692</v>
      </c>
      <c r="H1541" s="1">
        <f t="shared" si="950"/>
        <v>1.1043331019378158</v>
      </c>
      <c r="I1541" s="1">
        <f t="shared" si="950"/>
        <v>1.1046913792058786</v>
      </c>
      <c r="J1541" s="1">
        <f t="shared" si="950"/>
        <v>1.1815286576751336</v>
      </c>
      <c r="K1541" s="1">
        <f t="shared" si="950"/>
        <v>1.2118910278068664</v>
      </c>
    </row>
    <row r="1542" spans="2:11" x14ac:dyDescent="0.25">
      <c r="B1542" t="str">
        <f t="shared" si="947"/>
        <v>SPS3</v>
      </c>
      <c r="C1542" t="str">
        <f t="shared" si="945"/>
        <v>CH</v>
      </c>
      <c r="D1542" t="s">
        <v>1586</v>
      </c>
      <c r="E1542" t="s">
        <v>1230</v>
      </c>
      <c r="F1542" s="1">
        <f t="shared" si="950"/>
        <v>0.72942698043637244</v>
      </c>
      <c r="G1542" s="1">
        <f t="shared" si="950"/>
        <v>0.73017446476801617</v>
      </c>
      <c r="H1542" s="1">
        <f t="shared" si="950"/>
        <v>0.73018577366150972</v>
      </c>
      <c r="I1542" s="1">
        <f t="shared" si="950"/>
        <v>0.73021145964434098</v>
      </c>
      <c r="J1542" s="1">
        <f t="shared" si="950"/>
        <v>0.73155158094004147</v>
      </c>
      <c r="K1542" s="1">
        <f t="shared" si="950"/>
        <v>0.79308714982364692</v>
      </c>
    </row>
    <row r="1543" spans="2:11" x14ac:dyDescent="0.25">
      <c r="B1543" t="str">
        <f t="shared" si="947"/>
        <v>SPS3</v>
      </c>
      <c r="C1543" t="str">
        <f t="shared" si="945"/>
        <v>CH</v>
      </c>
      <c r="D1543" t="s">
        <v>1587</v>
      </c>
      <c r="E1543" t="s">
        <v>1230</v>
      </c>
      <c r="F1543" s="1">
        <f t="shared" si="950"/>
        <v>0.67580166525687368</v>
      </c>
      <c r="G1543" s="1">
        <f t="shared" si="950"/>
        <v>0.67641608394445984</v>
      </c>
      <c r="H1543" s="1">
        <f t="shared" si="950"/>
        <v>0.67642777922086339</v>
      </c>
      <c r="I1543" s="1">
        <f t="shared" si="950"/>
        <v>0.67644589372543773</v>
      </c>
      <c r="J1543" s="1">
        <f t="shared" si="950"/>
        <v>0.67657928464474215</v>
      </c>
      <c r="K1543" s="1">
        <f t="shared" si="950"/>
        <v>0.68464803755300585</v>
      </c>
    </row>
    <row r="1544" spans="2:11" x14ac:dyDescent="0.25">
      <c r="B1544" s="2" t="str">
        <f t="shared" si="947"/>
        <v>SPS3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16.670004407797968</v>
      </c>
      <c r="G1544" s="3">
        <f t="shared" ref="G1544:K1544" si="951">G1545+G1548+G1550+G1557+G1565</f>
        <v>15.587740061187246</v>
      </c>
      <c r="H1544" s="3">
        <f t="shared" si="951"/>
        <v>13.939319980263649</v>
      </c>
      <c r="I1544" s="3">
        <f t="shared" si="951"/>
        <v>11.199347263247827</v>
      </c>
      <c r="J1544" s="3">
        <f t="shared" si="951"/>
        <v>8.6240280247720396</v>
      </c>
      <c r="K1544" s="3">
        <f t="shared" si="951"/>
        <v>8.9206925530855976</v>
      </c>
    </row>
    <row r="1545" spans="2:11" x14ac:dyDescent="0.25">
      <c r="B1545" t="str">
        <f t="shared" si="947"/>
        <v>SPS3</v>
      </c>
      <c r="C1545" t="str">
        <f t="shared" ref="C1545:C1590" si="952">C1544</f>
        <v>CH</v>
      </c>
      <c r="D1545" t="s">
        <v>1537</v>
      </c>
      <c r="E1545" t="str">
        <f>E1544</f>
        <v>PJ/yr.</v>
      </c>
      <c r="F1545" s="1">
        <f>SUM(F1546:F1547)</f>
        <v>7.5706722271011384E-2</v>
      </c>
      <c r="G1545" s="1">
        <f t="shared" ref="G1545:K1545" si="953">SUM(G1546:G1547)</f>
        <v>0.11334021356247206</v>
      </c>
      <c r="H1545" s="1">
        <f t="shared" si="953"/>
        <v>0.14445352994997337</v>
      </c>
      <c r="I1545" s="1">
        <f t="shared" si="953"/>
        <v>1.7394005101715153</v>
      </c>
      <c r="J1545" s="1">
        <f t="shared" si="953"/>
        <v>5.0456768182313407</v>
      </c>
      <c r="K1545" s="1">
        <f t="shared" si="953"/>
        <v>5.5844046525387823</v>
      </c>
    </row>
    <row r="1546" spans="2:11" x14ac:dyDescent="0.25">
      <c r="B1546" t="str">
        <f t="shared" si="947"/>
        <v>SPS3</v>
      </c>
      <c r="C1546" t="str">
        <f t="shared" si="952"/>
        <v>CH</v>
      </c>
      <c r="D1546" t="s">
        <v>1544</v>
      </c>
      <c r="E1546" t="str">
        <f t="shared" ref="E1546:E1570" si="954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4.0450676521505823E-2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3.4797071739861227E-2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2.6374196150696465E-2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1.3209631336682709E-2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947"/>
        <v>SPS3</v>
      </c>
      <c r="C1547" t="str">
        <f t="shared" si="952"/>
        <v>CH</v>
      </c>
      <c r="D1547" t="s">
        <v>1545</v>
      </c>
      <c r="E1547" t="str">
        <f t="shared" si="954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3.5256045749505555E-2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7.8543141822610837E-2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0.11807933379927692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1.7261908788348326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5.0456768182313407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5.5844046525387823</v>
      </c>
    </row>
    <row r="1548" spans="2:11" x14ac:dyDescent="0.25">
      <c r="B1548" t="str">
        <f t="shared" si="947"/>
        <v>SPS3</v>
      </c>
      <c r="C1548" t="str">
        <f t="shared" si="952"/>
        <v>CH</v>
      </c>
      <c r="D1548" t="s">
        <v>1538</v>
      </c>
      <c r="E1548" t="str">
        <f t="shared" si="954"/>
        <v>PJ/yr.</v>
      </c>
      <c r="F1548" s="1">
        <f>F1549</f>
        <v>0</v>
      </c>
      <c r="G1548" s="1">
        <f t="shared" ref="G1548:K1548" si="955">G1549</f>
        <v>1.9682105491414912E-4</v>
      </c>
      <c r="H1548" s="1">
        <f t="shared" si="955"/>
        <v>3.9840391143408177E-4</v>
      </c>
      <c r="I1548" s="1">
        <f t="shared" si="955"/>
        <v>7.8711811070070171E-4</v>
      </c>
      <c r="J1548" s="1">
        <f t="shared" si="955"/>
        <v>1.2387946759925402E-2</v>
      </c>
      <c r="K1548" s="1">
        <f t="shared" si="955"/>
        <v>0.33154596760105998</v>
      </c>
    </row>
    <row r="1549" spans="2:11" x14ac:dyDescent="0.25">
      <c r="B1549" t="str">
        <f t="shared" si="947"/>
        <v>SPS3</v>
      </c>
      <c r="C1549" t="str">
        <f t="shared" si="952"/>
        <v>CH</v>
      </c>
      <c r="D1549" t="s">
        <v>1546</v>
      </c>
      <c r="E1549" t="str">
        <f t="shared" si="954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1.9682105491414912E-4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3.9840391143408177E-4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7.8711811070070171E-4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1.2387946759925402E-2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0.33154596760105998</v>
      </c>
    </row>
    <row r="1550" spans="2:11" x14ac:dyDescent="0.25">
      <c r="B1550" t="str">
        <f t="shared" si="947"/>
        <v>SPS3</v>
      </c>
      <c r="C1550" t="str">
        <f t="shared" si="952"/>
        <v>CH</v>
      </c>
      <c r="D1550" t="s">
        <v>1539</v>
      </c>
      <c r="E1550" t="str">
        <f t="shared" si="954"/>
        <v>PJ/yr.</v>
      </c>
      <c r="F1550" s="1">
        <f>SUM(F1555:F1556)</f>
        <v>1.2909389192593008</v>
      </c>
      <c r="G1550" s="1">
        <f t="shared" ref="G1550:K1550" si="956">SUM(G1555:G1556)</f>
        <v>2.3318436253161936</v>
      </c>
      <c r="H1550" s="1">
        <f t="shared" si="956"/>
        <v>1.3634420259684805</v>
      </c>
      <c r="I1550" s="1">
        <f t="shared" si="956"/>
        <v>1.633156906145961</v>
      </c>
      <c r="J1550" s="1">
        <f t="shared" si="956"/>
        <v>1.161147627085596</v>
      </c>
      <c r="K1550" s="1">
        <f t="shared" si="956"/>
        <v>0.17850642137957326</v>
      </c>
    </row>
    <row r="1551" spans="2:11" x14ac:dyDescent="0.25">
      <c r="B1551" t="str">
        <f t="shared" si="947"/>
        <v>SPS3</v>
      </c>
      <c r="C1551" t="str">
        <f t="shared" si="952"/>
        <v>CH</v>
      </c>
      <c r="D1551" t="s">
        <v>1540</v>
      </c>
      <c r="E1551" t="str">
        <f t="shared" si="954"/>
        <v>PJ/yr.</v>
      </c>
      <c r="F1551" s="1">
        <f>F1550-F1552</f>
        <v>1.2202708497743098</v>
      </c>
      <c r="G1551" s="1">
        <f t="shared" ref="G1551:K1551" si="957">G1550-G1552</f>
        <v>2.2041945096627642</v>
      </c>
      <c r="H1551" s="1">
        <f t="shared" si="957"/>
        <v>1.2882970618283693</v>
      </c>
      <c r="I1551" s="1">
        <f t="shared" si="957"/>
        <v>1.4628763275882997</v>
      </c>
      <c r="J1551" s="1">
        <f t="shared" si="957"/>
        <v>0.68143559318995206</v>
      </c>
      <c r="K1551" s="1">
        <f t="shared" si="957"/>
        <v>-5.0169703928665266E-4</v>
      </c>
    </row>
    <row r="1552" spans="2:11" x14ac:dyDescent="0.25">
      <c r="B1552" t="str">
        <f t="shared" si="947"/>
        <v>SPS3</v>
      </c>
      <c r="C1552" t="str">
        <f t="shared" si="952"/>
        <v>CH</v>
      </c>
      <c r="D1552" t="s">
        <v>1541</v>
      </c>
      <c r="E1552" t="str">
        <f t="shared" si="954"/>
        <v>PJ/yr.</v>
      </c>
      <c r="F1552" s="1">
        <f>SUM(F1553:F1554)</f>
        <v>7.0668069484991033E-2</v>
      </c>
      <c r="G1552" s="1">
        <f t="shared" ref="G1552:K1552" si="958">SUM(G1553:G1554)</f>
        <v>0.12764911565342957</v>
      </c>
      <c r="H1552" s="1">
        <f t="shared" si="958"/>
        <v>7.5144964140111112E-2</v>
      </c>
      <c r="I1552" s="1">
        <f t="shared" si="958"/>
        <v>0.17028057855766124</v>
      </c>
      <c r="J1552" s="1">
        <f t="shared" si="958"/>
        <v>0.47971203389564393</v>
      </c>
      <c r="K1552" s="1">
        <f t="shared" si="958"/>
        <v>0.17900811841885991</v>
      </c>
    </row>
    <row r="1553" spans="2:11" x14ac:dyDescent="0.25">
      <c r="B1553" t="str">
        <f t="shared" si="947"/>
        <v>SPS3</v>
      </c>
      <c r="C1553" t="str">
        <f t="shared" si="952"/>
        <v>CH</v>
      </c>
      <c r="D1553" t="s">
        <v>1542</v>
      </c>
      <c r="E1553" t="str">
        <f t="shared" si="954"/>
        <v>PJ/yr.</v>
      </c>
      <c r="F1553" s="1">
        <f>[1]Transport!B$25/SUM([1]Transport!B$21,[1]Transport!B$25)*F1550*(F$34+F$598)/(F$34+F$598+F$37)</f>
        <v>7.0668069484991033E-2</v>
      </c>
      <c r="G1553" s="1">
        <f>[1]Transport!C$25/SUM([1]Transport!C$21,[1]Transport!C$25)*G1550*(G$34+G$598)/(G$34+G$598+G$37)</f>
        <v>0.12764911565342957</v>
      </c>
      <c r="H1553" s="1">
        <f>[1]Transport!D$25/SUM([1]Transport!D$21,[1]Transport!D$25)*H1550*(H$34+H$598)/(H$34+H$598+H$37)</f>
        <v>7.5144964140111112E-2</v>
      </c>
      <c r="I1553" s="1">
        <f>[1]Transport!E$25/SUM([1]Transport!E$21,[1]Transport!E$25)*I1550*(I$34+I$598)/(I$34+I$598+I$37)</f>
        <v>0.17028057855766124</v>
      </c>
      <c r="J1553" s="1">
        <f>[1]Transport!F$25/SUM([1]Transport!F$21,[1]Transport!F$25)*J1550*(J$34+J$598)/(J$34+J$598+J$37)</f>
        <v>0.20520256491493599</v>
      </c>
      <c r="K1553" s="1">
        <f>[1]Transport!G$25/SUM([1]Transport!G$21,[1]Transport!G$25)*K1550*(K$34+K$598)/(K$34+K$598+K$37)</f>
        <v>0.14487048738960909</v>
      </c>
    </row>
    <row r="1554" spans="2:11" x14ac:dyDescent="0.25">
      <c r="B1554" t="str">
        <f t="shared" si="947"/>
        <v>SPS3</v>
      </c>
      <c r="C1554" t="str">
        <f t="shared" si="952"/>
        <v>CH</v>
      </c>
      <c r="D1554" t="s">
        <v>1543</v>
      </c>
      <c r="E1554" t="str">
        <f t="shared" si="954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0.27450946898070794</v>
      </c>
      <c r="K1554" s="1">
        <f>(K$37+K$717)/([1]Transport!G$21+[1]Transport!G$25)*K1550</f>
        <v>3.4137631029250819E-2</v>
      </c>
    </row>
    <row r="1555" spans="2:11" x14ac:dyDescent="0.25">
      <c r="B1555" t="str">
        <f t="shared" si="947"/>
        <v>SPS3</v>
      </c>
      <c r="C1555" t="str">
        <f t="shared" si="952"/>
        <v>CH</v>
      </c>
      <c r="D1555" t="s">
        <v>1589</v>
      </c>
      <c r="E1555" t="str">
        <f t="shared" si="954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0.83419006367911486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1.753725378061834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0.54323762103744888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0.27087531733068948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947"/>
        <v>SPS3</v>
      </c>
      <c r="C1556" t="str">
        <f t="shared" si="952"/>
        <v>CH</v>
      </c>
      <c r="D1556" t="s">
        <v>1588</v>
      </c>
      <c r="E1556" t="str">
        <f t="shared" si="954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0.45674885558018585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0.57811824725435934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0.82020440493103164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1.3622815888152715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1.161147627085596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0.17850642137957326</v>
      </c>
    </row>
    <row r="1557" spans="2:11" x14ac:dyDescent="0.25">
      <c r="B1557" t="str">
        <f t="shared" si="947"/>
        <v>SPS3</v>
      </c>
      <c r="C1557" t="str">
        <f t="shared" si="952"/>
        <v>CH</v>
      </c>
      <c r="D1557" t="s">
        <v>1547</v>
      </c>
      <c r="E1557" t="str">
        <f t="shared" si="954"/>
        <v>PJ/yr.</v>
      </c>
      <c r="F1557" s="1">
        <f>SUM(F1562:F1564)</f>
        <v>15.278115336396221</v>
      </c>
      <c r="G1557" s="1">
        <f t="shared" ref="G1557:K1557" si="959">SUM(G1562:G1564)</f>
        <v>13.118459820907876</v>
      </c>
      <c r="H1557" s="1">
        <f t="shared" si="959"/>
        <v>12.399766984697081</v>
      </c>
      <c r="I1557" s="1">
        <f t="shared" si="959"/>
        <v>7.825862274813181</v>
      </c>
      <c r="J1557" s="1">
        <f t="shared" si="959"/>
        <v>2.4047079413603676</v>
      </c>
      <c r="K1557" s="1">
        <f t="shared" si="959"/>
        <v>2.8261325561727015</v>
      </c>
    </row>
    <row r="1558" spans="2:11" x14ac:dyDescent="0.25">
      <c r="B1558" t="str">
        <f t="shared" si="947"/>
        <v>SPS3</v>
      </c>
      <c r="C1558" t="str">
        <f t="shared" si="952"/>
        <v>CH</v>
      </c>
      <c r="D1558" t="s">
        <v>1548</v>
      </c>
      <c r="E1558" t="str">
        <f t="shared" si="954"/>
        <v>PJ/yr.</v>
      </c>
      <c r="F1558" s="1">
        <f>F1557-F1559</f>
        <v>14.898025060579048</v>
      </c>
      <c r="G1558" s="1">
        <f t="shared" ref="G1558:K1558" si="960">G1557-G1559</f>
        <v>12.77146581629605</v>
      </c>
      <c r="H1558" s="1">
        <f t="shared" si="960"/>
        <v>12.000010276827094</v>
      </c>
      <c r="I1558" s="1">
        <f t="shared" si="960"/>
        <v>7.4978045979459482</v>
      </c>
      <c r="J1558" s="1">
        <f t="shared" si="960"/>
        <v>2.1019194127099743</v>
      </c>
      <c r="K1558" s="1">
        <f t="shared" si="960"/>
        <v>-0.22973751063483228</v>
      </c>
    </row>
    <row r="1559" spans="2:11" x14ac:dyDescent="0.25">
      <c r="B1559" t="str">
        <f t="shared" si="947"/>
        <v>SPS3</v>
      </c>
      <c r="C1559" t="str">
        <f t="shared" si="952"/>
        <v>CH</v>
      </c>
      <c r="D1559" t="s">
        <v>1549</v>
      </c>
      <c r="E1559" t="str">
        <f t="shared" si="954"/>
        <v>PJ/yr.</v>
      </c>
      <c r="F1559" s="1">
        <f>SUM(F1560:F1561)</f>
        <v>0.38009027581717203</v>
      </c>
      <c r="G1559" s="1">
        <f t="shared" ref="G1559:K1559" si="961">SUM(G1560:G1561)</f>
        <v>0.34699400461182583</v>
      </c>
      <c r="H1559" s="1">
        <f t="shared" si="961"/>
        <v>0.39975670786998657</v>
      </c>
      <c r="I1559" s="1">
        <f t="shared" si="961"/>
        <v>0.32805767686723314</v>
      </c>
      <c r="J1559" s="1">
        <f t="shared" si="961"/>
        <v>0.30278852865039341</v>
      </c>
      <c r="K1559" s="1">
        <f t="shared" si="961"/>
        <v>3.0558700668075338</v>
      </c>
    </row>
    <row r="1560" spans="2:11" x14ac:dyDescent="0.25">
      <c r="B1560" t="str">
        <f t="shared" si="947"/>
        <v>SPS3</v>
      </c>
      <c r="C1560" t="str">
        <f t="shared" si="952"/>
        <v>CH</v>
      </c>
      <c r="D1560" t="s">
        <v>1550</v>
      </c>
      <c r="E1560" t="str">
        <f t="shared" si="954"/>
        <v>PJ/yr.</v>
      </c>
      <c r="F1560" s="1">
        <f>[1]Transport!B$26/SUM([1]Transport!B$22,[1]Transport!B$26)*F1557*(F$33+F$580)/(F$33+F$580+F$36)</f>
        <v>0.38009027581717203</v>
      </c>
      <c r="G1560" s="1">
        <f>[1]Transport!C$26/SUM([1]Transport!C$22,[1]Transport!C$26)*G1557*(G$33+G$580)/(G$33+G$580+G$36)</f>
        <v>0.34699400461182583</v>
      </c>
      <c r="H1560" s="1">
        <f>[1]Transport!D$26/SUM([1]Transport!D$22,[1]Transport!D$26)*H1557*(H$33+H$580)/(H$33+H$580+H$36)</f>
        <v>0.39975670786998657</v>
      </c>
      <c r="I1560" s="1">
        <f>[1]Transport!E$26/SUM([1]Transport!E$22,[1]Transport!E$26)*I1557*(I$33+I$580)/(I$33+I$580+I$36)</f>
        <v>0.32805767686723314</v>
      </c>
      <c r="J1560" s="1">
        <f>[1]Transport!F$26/SUM([1]Transport!F$22,[1]Transport!F$26)*J1557*(J$33+J$580)/(J$33+J$580+J$36)</f>
        <v>0.13691121486406702</v>
      </c>
      <c r="K1560" s="1">
        <f>[1]Transport!G$26/SUM([1]Transport!G$22,[1]Transport!G$26)*K1557*(K$33+K$580)/(K$33+K$580+K$36)</f>
        <v>0.50803419427764795</v>
      </c>
    </row>
    <row r="1561" spans="2:11" x14ac:dyDescent="0.25">
      <c r="B1561" t="str">
        <f t="shared" si="947"/>
        <v>SPS3</v>
      </c>
      <c r="C1561" t="str">
        <f t="shared" si="952"/>
        <v>CH</v>
      </c>
      <c r="D1561" t="s">
        <v>1551</v>
      </c>
      <c r="E1561" t="str">
        <f t="shared" si="954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0.16587731378632642</v>
      </c>
      <c r="K1561" s="1">
        <f>(K$36+K$716)/([1]Transport!G$22+[1]Transport!G$26)*K1557</f>
        <v>2.5478358725298857</v>
      </c>
    </row>
    <row r="1562" spans="2:11" x14ac:dyDescent="0.25">
      <c r="B1562" t="str">
        <f t="shared" si="947"/>
        <v>SPS3</v>
      </c>
      <c r="C1562" t="str">
        <f t="shared" si="952"/>
        <v>CH</v>
      </c>
      <c r="D1562" t="s">
        <v>1552</v>
      </c>
      <c r="E1562" t="str">
        <f t="shared" si="954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10.833696429842096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7.4398648262985976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5.4523189562156817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2.7253186358268766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947"/>
        <v>SPS3</v>
      </c>
      <c r="C1563" t="str">
        <f t="shared" si="952"/>
        <v>CH</v>
      </c>
      <c r="D1563" t="s">
        <v>1553</v>
      </c>
      <c r="E1563" t="str">
        <f t="shared" si="954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4.4444189065541249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5.2485803278312178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5.0310981757863154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2.0889906467155765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4.4148615694231206E-3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1.0485603619927323E-3</v>
      </c>
    </row>
    <row r="1564" spans="2:11" x14ac:dyDescent="0.25">
      <c r="B1564" t="str">
        <f t="shared" si="947"/>
        <v>SPS3</v>
      </c>
      <c r="C1564" t="str">
        <f t="shared" si="952"/>
        <v>CH</v>
      </c>
      <c r="D1564" t="s">
        <v>1554</v>
      </c>
      <c r="E1564" t="str">
        <f t="shared" si="954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0.43001466677806077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1.9163498526950848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3.0115529922707278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2.4002930797909445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2.8250839958107088</v>
      </c>
    </row>
    <row r="1565" spans="2:11" x14ac:dyDescent="0.25">
      <c r="B1565" t="str">
        <f t="shared" si="947"/>
        <v>SPS3</v>
      </c>
      <c r="C1565" t="str">
        <f t="shared" si="952"/>
        <v>CH</v>
      </c>
      <c r="D1565" t="s">
        <v>1555</v>
      </c>
      <c r="E1565" t="str">
        <f t="shared" si="954"/>
        <v>PJ/yr.</v>
      </c>
      <c r="F1565" s="1">
        <f>F1570</f>
        <v>2.5243429871434103E-2</v>
      </c>
      <c r="G1565" s="1">
        <f t="shared" ref="G1565:K1565" si="962">G1570</f>
        <v>2.3899580345789845E-2</v>
      </c>
      <c r="H1565" s="1">
        <f t="shared" si="962"/>
        <v>3.1259035736679826E-2</v>
      </c>
      <c r="I1565" s="1">
        <f t="shared" si="962"/>
        <v>1.4045400646937008E-4</v>
      </c>
      <c r="J1565" s="1">
        <f t="shared" si="962"/>
        <v>1.0769133480932062E-4</v>
      </c>
      <c r="K1565" s="1">
        <f t="shared" si="962"/>
        <v>1.0295539347987613E-4</v>
      </c>
    </row>
    <row r="1566" spans="2:11" x14ac:dyDescent="0.25">
      <c r="B1566" t="str">
        <f t="shared" si="947"/>
        <v>SPS3</v>
      </c>
      <c r="C1566" t="str">
        <f t="shared" si="952"/>
        <v>CH</v>
      </c>
      <c r="D1566" t="s">
        <v>1556</v>
      </c>
      <c r="E1566" t="str">
        <f t="shared" si="954"/>
        <v>PJ/yr.</v>
      </c>
      <c r="F1566" s="1">
        <f>F1565-F1567</f>
        <v>2.334235466695319E-2</v>
      </c>
      <c r="G1566" s="1">
        <f t="shared" ref="G1566:K1566" si="963">G1565-G1567</f>
        <v>2.1613075242347995E-2</v>
      </c>
      <c r="H1566" s="1">
        <f t="shared" si="963"/>
        <v>2.8270276181225934E-2</v>
      </c>
      <c r="I1566" s="1">
        <f t="shared" si="963"/>
        <v>1.1544701189231699E-4</v>
      </c>
      <c r="J1566" s="1">
        <f t="shared" si="963"/>
        <v>-8.0409779695266789E-3</v>
      </c>
      <c r="K1566" s="1">
        <f t="shared" si="963"/>
        <v>1.0165284460881981E-4</v>
      </c>
    </row>
    <row r="1567" spans="2:11" x14ac:dyDescent="0.25">
      <c r="B1567" t="str">
        <f t="shared" si="947"/>
        <v>SPS3</v>
      </c>
      <c r="C1567" t="str">
        <f t="shared" si="952"/>
        <v>CH</v>
      </c>
      <c r="D1567" t="s">
        <v>1557</v>
      </c>
      <c r="E1567" t="str">
        <f t="shared" si="954"/>
        <v>PJ/yr.</v>
      </c>
      <c r="F1567" s="1">
        <f>SUM(F1568:F1569)</f>
        <v>1.9010752044809117E-3</v>
      </c>
      <c r="G1567" s="1">
        <f t="shared" ref="G1567:K1567" si="964">SUM(G1568:G1569)</f>
        <v>2.2865051034418504E-3</v>
      </c>
      <c r="H1567" s="1">
        <f t="shared" si="964"/>
        <v>2.9887595554538931E-3</v>
      </c>
      <c r="I1567" s="1">
        <f t="shared" si="964"/>
        <v>2.5006994577053084E-5</v>
      </c>
      <c r="J1567" s="1">
        <f t="shared" si="964"/>
        <v>8.1486693043359999E-3</v>
      </c>
      <c r="K1567" s="1">
        <f t="shared" si="964"/>
        <v>1.3025488710563232E-6</v>
      </c>
    </row>
    <row r="1568" spans="2:11" x14ac:dyDescent="0.25">
      <c r="B1568" t="str">
        <f t="shared" si="947"/>
        <v>SPS3</v>
      </c>
      <c r="C1568" t="str">
        <f t="shared" si="952"/>
        <v>CH</v>
      </c>
      <c r="D1568" t="s">
        <v>1558</v>
      </c>
      <c r="E1568" t="str">
        <f t="shared" si="954"/>
        <v>PJ/yr.</v>
      </c>
      <c r="F1568" s="1">
        <f>[1]Transport!B$27/SUM([1]Transport!B$24,[1]Transport!B$27)*F1565*(F$45+F$612)/(F$45+F$612+F$47)</f>
        <v>1.9010752044809117E-3</v>
      </c>
      <c r="G1568" s="1">
        <f>[1]Transport!C$27/SUM([1]Transport!C$24,[1]Transport!C$27)*G1565*(G$45+G$612)/(G$45+G$612+G$47)</f>
        <v>2.2865051034418504E-3</v>
      </c>
      <c r="H1568" s="1">
        <f>[1]Transport!D$27/SUM([1]Transport!D$24,[1]Transport!D$27)*H1565*(H$45+H$612)/(H$45+H$612+H$47)</f>
        <v>2.9887595554538931E-3</v>
      </c>
      <c r="I1568" s="1">
        <f>[1]Transport!E$27/SUM([1]Transport!E$24,[1]Transport!E$27)*I1565*(I$45+I$612)/(I$45+I$612+I$47)</f>
        <v>2.5006994577053084E-5</v>
      </c>
      <c r="J1568" s="1">
        <f>[1]Transport!F$27/SUM([1]Transport!F$24,[1]Transport!F$27)*J1565*(J$45+J$612)/(J$45+J$612+J$47)</f>
        <v>7.7484266355780015E-7</v>
      </c>
      <c r="K1568" s="1">
        <f>[1]Transport!G$27/SUM([1]Transport!G$24,[1]Transport!G$27)*K1565*(K$45+K$612)/(K$45+K$612+K$47)</f>
        <v>7.4736191391444919E-7</v>
      </c>
    </row>
    <row r="1569" spans="2:11" x14ac:dyDescent="0.25">
      <c r="B1569" t="str">
        <f t="shared" si="947"/>
        <v>SPS3</v>
      </c>
      <c r="C1569" t="str">
        <f t="shared" si="952"/>
        <v>CH</v>
      </c>
      <c r="D1569" t="s">
        <v>1559</v>
      </c>
      <c r="E1569" t="str">
        <f t="shared" si="954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8.1478944616724426E-3</v>
      </c>
      <c r="K1569" s="1">
        <f>(K$47+K$714)/([1]Transport!G$24+[1]Transport!G$27)*K1565</f>
        <v>5.5518695714187401E-7</v>
      </c>
    </row>
    <row r="1570" spans="2:11" x14ac:dyDescent="0.25">
      <c r="B1570" t="str">
        <f t="shared" si="947"/>
        <v>SPS3</v>
      </c>
      <c r="C1570" t="str">
        <f t="shared" si="952"/>
        <v>CH</v>
      </c>
      <c r="D1570" t="s">
        <v>1560</v>
      </c>
      <c r="E1570" t="str">
        <f t="shared" si="954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2.5243429871434103E-2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2.3899580345789845E-2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3.1259035736679826E-2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1.4045400646937008E-4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1.0769133480932062E-4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1.0295539347987613E-4</v>
      </c>
    </row>
    <row r="1571" spans="2:11" x14ac:dyDescent="0.25">
      <c r="B1571" s="2" t="str">
        <f t="shared" si="947"/>
        <v>SPS3</v>
      </c>
      <c r="C1571" s="2" t="str">
        <f t="shared" si="952"/>
        <v>CH</v>
      </c>
      <c r="D1571" s="2" t="s">
        <v>1561</v>
      </c>
      <c r="E1571" s="2" t="s">
        <v>1518</v>
      </c>
      <c r="F1571" s="3">
        <f>SUM(F1572:F1580)</f>
        <v>4.7787993761907517</v>
      </c>
      <c r="G1571" s="3">
        <f t="shared" ref="G1571:K1571" si="965">SUM(G1572:G1580)</f>
        <v>4.7670405361451476</v>
      </c>
      <c r="H1571" s="3">
        <f t="shared" si="965"/>
        <v>4.6895335122759132</v>
      </c>
      <c r="I1571" s="3">
        <f t="shared" si="965"/>
        <v>4.6102295851163131</v>
      </c>
      <c r="J1571" s="3">
        <f t="shared" si="965"/>
        <v>4.9603850438049637</v>
      </c>
      <c r="K1571" s="3">
        <f t="shared" si="965"/>
        <v>5.3700685310737031</v>
      </c>
    </row>
    <row r="1572" spans="2:11" x14ac:dyDescent="0.25">
      <c r="B1572" t="str">
        <f t="shared" si="947"/>
        <v>SPS3</v>
      </c>
      <c r="C1572" t="str">
        <f t="shared" si="952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2.7879530693117369E-2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2.4206458775681328E-2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1.860124048719446E-2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9.3165125426704805E-3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947"/>
        <v>SPS3</v>
      </c>
      <c r="C1573" t="str">
        <f t="shared" si="952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2.4021973658062135E-2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5.3515964248788621E-2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8.0454247939235779E-2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1.1761532224792681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3.4379100956421937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3.8049763836923653</v>
      </c>
    </row>
    <row r="1574" spans="2:11" x14ac:dyDescent="0.25">
      <c r="B1574" t="str">
        <f t="shared" si="947"/>
        <v>SPS3</v>
      </c>
      <c r="C1574" t="str">
        <f t="shared" si="952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9.1542148074347921E-5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1.9051375318024041E-4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3.9740969549294507E-4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7.1233418491194953E-3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0.20029652161716649</v>
      </c>
    </row>
    <row r="1575" spans="2:11" x14ac:dyDescent="0.25">
      <c r="B1575" t="str">
        <f t="shared" si="947"/>
        <v>SPS3</v>
      </c>
      <c r="C1575" t="str">
        <f t="shared" si="952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0.23155719411302159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0.49134183634278566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0.15430717161225485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7.69423958470455E-2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947"/>
        <v>SPS3</v>
      </c>
      <c r="C1576" t="str">
        <f t="shared" si="952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0.16042372339822639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0.20305224776358294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0.28808007503274974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0.47847363408714855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0.40782943071739047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6.2696741148542581E-2</v>
      </c>
    </row>
    <row r="1577" spans="2:11" x14ac:dyDescent="0.25">
      <c r="B1577" t="str">
        <f t="shared" si="947"/>
        <v>SPS3</v>
      </c>
      <c r="C1577" t="str">
        <f t="shared" si="952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2.8063242814405465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1.9934185049556881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1.533675725090041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0.76660134311075656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947"/>
        <v>SPS3</v>
      </c>
      <c r="C1578" t="str">
        <f t="shared" si="952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1.5205002117016677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1.7956155050622857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1.7212117044354012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0.71467401866412172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1.5103882176907611E-3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3.5872771804673485E-4</v>
      </c>
    </row>
    <row r="1579" spans="2:11" x14ac:dyDescent="0.25">
      <c r="B1579" t="str">
        <f t="shared" si="947"/>
        <v>SPS3</v>
      </c>
      <c r="C1579" t="str">
        <f t="shared" si="952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0.19813682281401751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0.88299190829480556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1.3876260223759687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1.1059772640213448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1.3017071517738774</v>
      </c>
    </row>
    <row r="1580" spans="2:11" x14ac:dyDescent="0.25">
      <c r="B1580" t="str">
        <f t="shared" si="947"/>
        <v>SPS3</v>
      </c>
      <c r="C1580" t="str">
        <f t="shared" si="952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8.0924611861097895E-3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7.6616540342435207E-3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1.0020925631051275E-2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4.5026313839911503E-5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3.4523357224565278E-5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3.3005123704658638E-5</v>
      </c>
    </row>
    <row r="1581" spans="2:11" x14ac:dyDescent="0.25">
      <c r="B1581" s="2" t="str">
        <f t="shared" si="947"/>
        <v>SPS3</v>
      </c>
      <c r="C1581" s="2" t="str">
        <f t="shared" si="952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947"/>
        <v>SPS3</v>
      </c>
      <c r="C1582" t="str">
        <f t="shared" si="952"/>
        <v>CH</v>
      </c>
      <c r="D1582" t="s">
        <v>1570</v>
      </c>
      <c r="E1582" t="s">
        <v>1577</v>
      </c>
      <c r="F1582" s="1">
        <f>IFERROR(F1572/F1546,"-")</f>
        <v>0.68922285337539568</v>
      </c>
      <c r="G1582" s="1">
        <f t="shared" ref="G1582:K1582" si="966">IFERROR(G1572/G1546,"-")</f>
        <v>0.69564643130450565</v>
      </c>
      <c r="H1582" s="1">
        <f t="shared" si="966"/>
        <v>0.70528179819817016</v>
      </c>
      <c r="I1582" s="1">
        <f t="shared" si="966"/>
        <v>0.70528179819817027</v>
      </c>
      <c r="J1582" s="1" t="str">
        <f t="shared" si="966"/>
        <v>-</v>
      </c>
      <c r="K1582" s="1" t="str">
        <f t="shared" si="966"/>
        <v>-</v>
      </c>
    </row>
    <row r="1583" spans="2:11" x14ac:dyDescent="0.25">
      <c r="B1583" t="str">
        <f t="shared" si="947"/>
        <v>SPS3</v>
      </c>
      <c r="C1583" t="str">
        <f t="shared" si="952"/>
        <v>CH</v>
      </c>
      <c r="D1583" t="s">
        <v>1571</v>
      </c>
      <c r="E1583" t="s">
        <v>1577</v>
      </c>
      <c r="F1583" s="1">
        <f>IFERROR(F1573/F1547,"-")</f>
        <v>0.6813575699537725</v>
      </c>
      <c r="G1583" s="1">
        <f t="shared" ref="G1583:K1583" si="967">IFERROR(G1573/G1547,"-")</f>
        <v>0.68135756995377228</v>
      </c>
      <c r="H1583" s="1">
        <f t="shared" si="967"/>
        <v>0.68135756995377339</v>
      </c>
      <c r="I1583" s="1">
        <f t="shared" si="967"/>
        <v>0.68135756995377228</v>
      </c>
      <c r="J1583" s="1">
        <f t="shared" si="967"/>
        <v>0.68135756995377339</v>
      </c>
      <c r="K1583" s="1">
        <f t="shared" si="967"/>
        <v>0.68135756995377239</v>
      </c>
    </row>
    <row r="1584" spans="2:11" x14ac:dyDescent="0.25">
      <c r="B1584" t="str">
        <f t="shared" si="947"/>
        <v>SPS3</v>
      </c>
      <c r="C1584" t="str">
        <f t="shared" si="952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968">IFERROR(G1574/G1549,"-")</f>
        <v>0.46510343171505436</v>
      </c>
      <c r="H1584" s="1">
        <f t="shared" si="968"/>
        <v>0.4781924768119703</v>
      </c>
      <c r="I1584" s="1">
        <f t="shared" si="968"/>
        <v>0.50489207412489379</v>
      </c>
      <c r="J1584" s="1">
        <f t="shared" si="968"/>
        <v>0.57502199413411026</v>
      </c>
      <c r="K1584" s="1">
        <f t="shared" si="968"/>
        <v>0.6041289630708998</v>
      </c>
    </row>
    <row r="1585" spans="2:11" x14ac:dyDescent="0.25">
      <c r="B1585" t="str">
        <f t="shared" si="947"/>
        <v>SPS3</v>
      </c>
      <c r="C1585" t="str">
        <f t="shared" si="952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969">IFERROR(G1575/G1555,"-")</f>
        <v>0.28017034051580086</v>
      </c>
      <c r="H1585" s="1">
        <f t="shared" si="969"/>
        <v>0.28405096708428718</v>
      </c>
      <c r="I1585" s="1">
        <f t="shared" si="969"/>
        <v>0.28405096708428712</v>
      </c>
      <c r="J1585" s="1" t="str">
        <f t="shared" si="969"/>
        <v>-</v>
      </c>
      <c r="K1585" s="1" t="str">
        <f t="shared" si="969"/>
        <v>-</v>
      </c>
    </row>
    <row r="1586" spans="2:11" x14ac:dyDescent="0.25">
      <c r="B1586" t="str">
        <f t="shared" si="947"/>
        <v>SPS3</v>
      </c>
      <c r="C1586" t="str">
        <f t="shared" si="952"/>
        <v>CH</v>
      </c>
      <c r="D1586" t="s">
        <v>1593</v>
      </c>
      <c r="E1586" t="s">
        <v>1577</v>
      </c>
      <c r="F1586" s="1">
        <f>IFERROR(F1576/F1556,"-")</f>
        <v>0.35122961215622078</v>
      </c>
      <c r="G1586" s="1">
        <f t="shared" ref="G1586:K1586" si="970">IFERROR(G1576/G1556,"-")</f>
        <v>0.35122961215622106</v>
      </c>
      <c r="H1586" s="1">
        <f t="shared" si="970"/>
        <v>0.35122961215622034</v>
      </c>
      <c r="I1586" s="1">
        <f t="shared" si="970"/>
        <v>0.35122961215622117</v>
      </c>
      <c r="J1586" s="1">
        <f t="shared" si="970"/>
        <v>0.35122961215622123</v>
      </c>
      <c r="K1586" s="1">
        <f t="shared" si="970"/>
        <v>0.35122961215622162</v>
      </c>
    </row>
    <row r="1587" spans="2:11" x14ac:dyDescent="0.25">
      <c r="B1587" t="str">
        <f t="shared" si="947"/>
        <v>SPS3</v>
      </c>
      <c r="C1587" t="str">
        <f t="shared" si="952"/>
        <v>CH</v>
      </c>
      <c r="D1587" t="s">
        <v>1573</v>
      </c>
      <c r="E1587" t="s">
        <v>1577</v>
      </c>
      <c r="F1587" s="1">
        <f>IFERROR(F1577/F1562,"-")</f>
        <v>0.2590366362592873</v>
      </c>
      <c r="G1587" s="1">
        <f t="shared" ref="G1587:K1587" si="971">IFERROR(G1577/G1562,"-")</f>
        <v>0.26793746277611236</v>
      </c>
      <c r="H1587" s="1">
        <f t="shared" si="971"/>
        <v>0.28128870255135019</v>
      </c>
      <c r="I1587" s="1">
        <f t="shared" si="971"/>
        <v>0.28128870255134975</v>
      </c>
      <c r="J1587" s="1" t="str">
        <f t="shared" si="971"/>
        <v>-</v>
      </c>
      <c r="K1587" s="1" t="str">
        <f t="shared" si="971"/>
        <v>-</v>
      </c>
    </row>
    <row r="1588" spans="2:11" x14ac:dyDescent="0.25">
      <c r="B1588" t="str">
        <f t="shared" ref="B1588:B1651" si="972">B1587</f>
        <v>SPS3</v>
      </c>
      <c r="C1588" t="str">
        <f t="shared" si="952"/>
        <v>CH</v>
      </c>
      <c r="D1588" t="s">
        <v>1574</v>
      </c>
      <c r="E1588" t="s">
        <v>1577</v>
      </c>
      <c r="F1588" s="1">
        <f>IFERROR(F1578/F1563,"-")</f>
        <v>0.34211451343153243</v>
      </c>
      <c r="G1588" s="1">
        <f t="shared" ref="G1588:K1588" si="973">IFERROR(G1578/G1563,"-")</f>
        <v>0.3421145134315316</v>
      </c>
      <c r="H1588" s="1">
        <f t="shared" si="973"/>
        <v>0.34211451343153154</v>
      </c>
      <c r="I1588" s="1">
        <f t="shared" si="973"/>
        <v>0.34211451343153243</v>
      </c>
      <c r="J1588" s="1">
        <f t="shared" si="973"/>
        <v>0.3421145134315321</v>
      </c>
      <c r="K1588" s="1">
        <f t="shared" si="973"/>
        <v>0.34211451343153221</v>
      </c>
    </row>
    <row r="1589" spans="2:11" x14ac:dyDescent="0.25">
      <c r="B1589" t="str">
        <f t="shared" si="972"/>
        <v>SPS3</v>
      </c>
      <c r="C1589" t="str">
        <f t="shared" si="952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974">IFERROR(G1579/G1564,"-")</f>
        <v>0.46076759264650829</v>
      </c>
      <c r="H1589" s="1">
        <f t="shared" si="974"/>
        <v>0.46076759264650857</v>
      </c>
      <c r="I1589" s="1">
        <f t="shared" si="974"/>
        <v>0.46076759264650724</v>
      </c>
      <c r="J1589" s="1">
        <f t="shared" si="974"/>
        <v>0.46076759264650746</v>
      </c>
      <c r="K1589" s="1">
        <f t="shared" si="974"/>
        <v>0.46076759264650785</v>
      </c>
    </row>
    <row r="1590" spans="2:11" x14ac:dyDescent="0.25">
      <c r="B1590" t="str">
        <f t="shared" si="972"/>
        <v>SPS3</v>
      </c>
      <c r="C1590" t="str">
        <f t="shared" si="952"/>
        <v>CH</v>
      </c>
      <c r="D1590" t="s">
        <v>1576</v>
      </c>
      <c r="E1590" t="s">
        <v>1577</v>
      </c>
      <c r="F1590" s="1">
        <f>IFERROR(F1580/F1570,"-")</f>
        <v>0.32057692743518013</v>
      </c>
      <c r="G1590" s="1">
        <f t="shared" ref="G1590:K1590" si="975">IFERROR(G1580/G1570,"-")</f>
        <v>0.32057692743517979</v>
      </c>
      <c r="H1590" s="1">
        <f t="shared" si="975"/>
        <v>0.32057692743517902</v>
      </c>
      <c r="I1590" s="1">
        <f t="shared" si="975"/>
        <v>0.32057692743517963</v>
      </c>
      <c r="J1590" s="1">
        <f t="shared" si="975"/>
        <v>0.32057692743518024</v>
      </c>
      <c r="K1590" s="1">
        <f t="shared" si="975"/>
        <v>0.32057692743517985</v>
      </c>
    </row>
    <row r="1591" spans="2:11" x14ac:dyDescent="0.25">
      <c r="B1591" s="2" t="str">
        <f t="shared" si="972"/>
        <v>SPS3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24.512145550793704</v>
      </c>
      <c r="G1591" s="3">
        <f t="shared" ref="G1591" si="976">G1592+G1595+G1597+G1604+G1612</f>
        <v>22.725129010972921</v>
      </c>
      <c r="H1591" s="3">
        <f t="shared" ref="H1591" si="977">H1592+H1595+H1597+H1604+H1612</f>
        <v>20.29237517803449</v>
      </c>
      <c r="I1591" s="3">
        <f t="shared" ref="I1591" si="978">I1592+I1595+I1597+I1604+I1612</f>
        <v>16.265434297047765</v>
      </c>
      <c r="J1591" s="3">
        <f t="shared" ref="J1591" si="979">J1592+J1595+J1597+J1604+J1612</f>
        <v>15.246119754340778</v>
      </c>
      <c r="K1591" s="3">
        <f t="shared" ref="K1591" si="980">K1592+K1595+K1597+K1604+K1612</f>
        <v>9.5242841444539277</v>
      </c>
    </row>
    <row r="1592" spans="2:11" x14ac:dyDescent="0.25">
      <c r="B1592" t="str">
        <f t="shared" si="972"/>
        <v>SPS3</v>
      </c>
      <c r="C1592" t="str">
        <f t="shared" ref="C1592:C1637" si="981">C1591</f>
        <v>CH</v>
      </c>
      <c r="D1592" t="s">
        <v>1598</v>
      </c>
      <c r="E1592" t="str">
        <f>E1591</f>
        <v>PJ/yr.</v>
      </c>
      <c r="F1592" s="1">
        <f>SUM(F1593:F1594)</f>
        <v>9.9592496876399796E-3</v>
      </c>
      <c r="G1592" s="1">
        <f t="shared" ref="G1592" si="982">SUM(G1593:G1594)</f>
        <v>1.9400078692472109E-2</v>
      </c>
      <c r="H1592" s="1">
        <f t="shared" ref="H1592" si="983">SUM(H1593:H1594)</f>
        <v>2.1504751441720971E-2</v>
      </c>
      <c r="I1592" s="1">
        <f t="shared" ref="I1592" si="984">SUM(I1593:I1594)</f>
        <v>0.20110262109951785</v>
      </c>
      <c r="J1592" s="1">
        <f t="shared" ref="J1592" si="985">SUM(J1593:J1594)</f>
        <v>2.2191944723110989E-3</v>
      </c>
      <c r="K1592" s="1">
        <f t="shared" ref="K1592" si="986">SUM(K1593:K1594)</f>
        <v>6.351952582835847</v>
      </c>
    </row>
    <row r="1593" spans="2:11" x14ac:dyDescent="0.25">
      <c r="B1593" t="str">
        <f t="shared" si="972"/>
        <v>SPS3</v>
      </c>
      <c r="C1593" t="str">
        <f t="shared" si="981"/>
        <v>CH</v>
      </c>
      <c r="D1593" t="s">
        <v>1599</v>
      </c>
      <c r="E1593" t="str">
        <f t="shared" ref="E1593:E1617" si="987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972"/>
        <v>SPS3</v>
      </c>
      <c r="C1594" t="str">
        <f t="shared" si="981"/>
        <v>CH</v>
      </c>
      <c r="D1594" t="s">
        <v>1600</v>
      </c>
      <c r="E1594" t="str">
        <f t="shared" si="987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9.9592496876399796E-3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1.9400078692472109E-2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2.1504751441720971E-2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0.20110262109951785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2.2191944723110989E-3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6.351952582835847</v>
      </c>
    </row>
    <row r="1595" spans="2:11" x14ac:dyDescent="0.25">
      <c r="B1595" t="str">
        <f t="shared" si="972"/>
        <v>SPS3</v>
      </c>
      <c r="C1595" t="str">
        <f t="shared" si="981"/>
        <v>CH</v>
      </c>
      <c r="D1595" t="s">
        <v>1601</v>
      </c>
      <c r="E1595" t="str">
        <f t="shared" si="987"/>
        <v>PJ/yr.</v>
      </c>
      <c r="F1595" s="1">
        <f>F1596</f>
        <v>4.2032716137726956E-3</v>
      </c>
      <c r="G1595" s="1">
        <f t="shared" ref="G1595" si="988">G1596</f>
        <v>1.32855662102554E-2</v>
      </c>
      <c r="H1595" s="1">
        <f t="shared" ref="H1595" si="989">H1596</f>
        <v>1.3097310366307202E-2</v>
      </c>
      <c r="I1595" s="1">
        <f t="shared" ref="I1595" si="990">I1596</f>
        <v>3.4607637951579603E-3</v>
      </c>
      <c r="J1595" s="1">
        <f t="shared" ref="J1595" si="991">J1596</f>
        <v>2.4566682585666237E-2</v>
      </c>
      <c r="K1595" s="1">
        <f t="shared" ref="K1595" si="992">K1596</f>
        <v>0.33989044291528037</v>
      </c>
    </row>
    <row r="1596" spans="2:11" x14ac:dyDescent="0.25">
      <c r="B1596" t="str">
        <f t="shared" si="972"/>
        <v>SPS3</v>
      </c>
      <c r="C1596" t="str">
        <f t="shared" si="981"/>
        <v>CH</v>
      </c>
      <c r="D1596" t="s">
        <v>1602</v>
      </c>
      <c r="E1596" t="str">
        <f t="shared" si="987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4.2032716137726956E-3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1.32855662102554E-2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1.3097310366307202E-2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3.4607637951579603E-3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2.4566682585666237E-2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0.33989044291528037</v>
      </c>
    </row>
    <row r="1597" spans="2:11" x14ac:dyDescent="0.25">
      <c r="B1597" t="str">
        <f t="shared" si="972"/>
        <v>SPS3</v>
      </c>
      <c r="C1597" t="str">
        <f t="shared" si="981"/>
        <v>CH</v>
      </c>
      <c r="D1597" t="s">
        <v>1603</v>
      </c>
      <c r="E1597" t="str">
        <f t="shared" si="987"/>
        <v>PJ/yr.</v>
      </c>
      <c r="F1597" s="1">
        <f>SUM(F1602:F1603)</f>
        <v>0</v>
      </c>
      <c r="G1597" s="1">
        <f t="shared" ref="G1597:K1597" si="993">SUM(G1602:G1603)</f>
        <v>0</v>
      </c>
      <c r="H1597" s="1">
        <f t="shared" si="993"/>
        <v>0</v>
      </c>
      <c r="I1597" s="1">
        <f t="shared" si="993"/>
        <v>0</v>
      </c>
      <c r="J1597" s="1">
        <f t="shared" si="993"/>
        <v>0</v>
      </c>
      <c r="K1597" s="1">
        <f t="shared" si="993"/>
        <v>0</v>
      </c>
    </row>
    <row r="1598" spans="2:11" x14ac:dyDescent="0.25">
      <c r="B1598" t="str">
        <f t="shared" si="972"/>
        <v>SPS3</v>
      </c>
      <c r="C1598" t="str">
        <f t="shared" si="981"/>
        <v>CH</v>
      </c>
      <c r="D1598" t="s">
        <v>1604</v>
      </c>
      <c r="E1598" t="str">
        <f t="shared" si="987"/>
        <v>PJ/yr.</v>
      </c>
      <c r="F1598" s="1">
        <f>F1597-F1599</f>
        <v>0</v>
      </c>
      <c r="G1598" s="1">
        <f t="shared" ref="G1598:K1598" si="994">G1597-G1599</f>
        <v>0</v>
      </c>
      <c r="H1598" s="1">
        <f t="shared" si="994"/>
        <v>0</v>
      </c>
      <c r="I1598" s="1">
        <f t="shared" si="994"/>
        <v>0</v>
      </c>
      <c r="J1598" s="1">
        <f t="shared" si="994"/>
        <v>0</v>
      </c>
      <c r="K1598" s="1">
        <f t="shared" si="994"/>
        <v>0</v>
      </c>
    </row>
    <row r="1599" spans="2:11" x14ac:dyDescent="0.25">
      <c r="B1599" t="str">
        <f t="shared" si="972"/>
        <v>SPS3</v>
      </c>
      <c r="C1599" t="str">
        <f t="shared" si="981"/>
        <v>CH</v>
      </c>
      <c r="D1599" t="s">
        <v>1605</v>
      </c>
      <c r="E1599" t="str">
        <f t="shared" si="987"/>
        <v>PJ/yr.</v>
      </c>
      <c r="F1599" s="1">
        <f>SUM(F1600:F1601)</f>
        <v>0</v>
      </c>
      <c r="G1599" s="1">
        <f t="shared" ref="G1599:K1599" si="995">SUM(G1600:G1601)</f>
        <v>0</v>
      </c>
      <c r="H1599" s="1">
        <f t="shared" si="995"/>
        <v>0</v>
      </c>
      <c r="I1599" s="1">
        <f t="shared" si="995"/>
        <v>0</v>
      </c>
      <c r="J1599" s="1">
        <f t="shared" si="995"/>
        <v>0</v>
      </c>
      <c r="K1599" s="1">
        <f t="shared" si="995"/>
        <v>0</v>
      </c>
    </row>
    <row r="1600" spans="2:11" x14ac:dyDescent="0.25">
      <c r="B1600" t="str">
        <f t="shared" si="972"/>
        <v>SPS3</v>
      </c>
      <c r="C1600" t="str">
        <f t="shared" si="981"/>
        <v>CH</v>
      </c>
      <c r="D1600" t="s">
        <v>1606</v>
      </c>
      <c r="E1600" t="str">
        <f t="shared" si="987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972"/>
        <v>SPS3</v>
      </c>
      <c r="C1601" t="str">
        <f t="shared" si="981"/>
        <v>CH</v>
      </c>
      <c r="D1601" t="s">
        <v>1607</v>
      </c>
      <c r="E1601" t="str">
        <f t="shared" si="987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972"/>
        <v>SPS3</v>
      </c>
      <c r="C1602" t="str">
        <f t="shared" si="981"/>
        <v>CH</v>
      </c>
      <c r="D1602" t="s">
        <v>1608</v>
      </c>
      <c r="E1602" t="str">
        <f t="shared" si="987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972"/>
        <v>SPS3</v>
      </c>
      <c r="C1603" t="str">
        <f t="shared" si="981"/>
        <v>CH</v>
      </c>
      <c r="D1603" t="s">
        <v>1609</v>
      </c>
      <c r="E1603" t="str">
        <f t="shared" si="987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972"/>
        <v>SPS3</v>
      </c>
      <c r="C1604" t="str">
        <f t="shared" si="981"/>
        <v>CH</v>
      </c>
      <c r="D1604" t="s">
        <v>1610</v>
      </c>
      <c r="E1604" t="str">
        <f t="shared" si="987"/>
        <v>PJ/yr.</v>
      </c>
      <c r="F1604" s="1">
        <f>SUM(F1609:F1611)</f>
        <v>24.435600093153585</v>
      </c>
      <c r="G1604" s="1">
        <f t="shared" ref="G1604:K1604" si="996">SUM(G1609:G1611)</f>
        <v>22.666622986623459</v>
      </c>
      <c r="H1604" s="1">
        <f t="shared" si="996"/>
        <v>20.23166049530742</v>
      </c>
      <c r="I1604" s="1">
        <f t="shared" si="996"/>
        <v>16.035828017238408</v>
      </c>
      <c r="J1604" s="1">
        <f t="shared" si="996"/>
        <v>15.196290803890658</v>
      </c>
      <c r="K1604" s="1">
        <f t="shared" si="996"/>
        <v>2.8109944277328545</v>
      </c>
    </row>
    <row r="1605" spans="2:11" x14ac:dyDescent="0.25">
      <c r="B1605" t="str">
        <f t="shared" si="972"/>
        <v>SPS3</v>
      </c>
      <c r="C1605" t="str">
        <f t="shared" si="981"/>
        <v>CH</v>
      </c>
      <c r="D1605" t="s">
        <v>1611</v>
      </c>
      <c r="E1605" t="str">
        <f t="shared" si="987"/>
        <v>PJ/yr.</v>
      </c>
      <c r="F1605" s="1">
        <f>F1604-F1606</f>
        <v>23.827689118883139</v>
      </c>
      <c r="G1605" s="1">
        <f t="shared" ref="G1605:K1605" si="997">G1604-G1606</f>
        <v>22.067072247548161</v>
      </c>
      <c r="H1605" s="1">
        <f t="shared" si="997"/>
        <v>19.579410980915039</v>
      </c>
      <c r="I1605" s="1">
        <f t="shared" si="997"/>
        <v>15.363611167357377</v>
      </c>
      <c r="J1605" s="1">
        <f t="shared" si="997"/>
        <v>13.282851564840874</v>
      </c>
      <c r="K1605" s="1">
        <f t="shared" si="997"/>
        <v>-0.22850692577219167</v>
      </c>
    </row>
    <row r="1606" spans="2:11" x14ac:dyDescent="0.25">
      <c r="B1606" t="str">
        <f t="shared" si="972"/>
        <v>SPS3</v>
      </c>
      <c r="C1606" t="str">
        <f t="shared" si="981"/>
        <v>CH</v>
      </c>
      <c r="D1606" t="s">
        <v>1612</v>
      </c>
      <c r="E1606" t="str">
        <f t="shared" si="987"/>
        <v>PJ/yr.</v>
      </c>
      <c r="F1606" s="1">
        <f>SUM(F1607:F1608)</f>
        <v>0.60791097427044549</v>
      </c>
      <c r="G1606" s="1">
        <f t="shared" ref="G1606:K1606" si="998">SUM(G1607:G1608)</f>
        <v>0.59955073907529943</v>
      </c>
      <c r="H1606" s="1">
        <f t="shared" si="998"/>
        <v>0.65224951439238155</v>
      </c>
      <c r="I1606" s="1">
        <f t="shared" si="998"/>
        <v>0.6722168498810317</v>
      </c>
      <c r="J1606" s="1">
        <f t="shared" si="998"/>
        <v>1.9134392390497852</v>
      </c>
      <c r="K1606" s="1">
        <f t="shared" si="998"/>
        <v>3.0395013535050461</v>
      </c>
    </row>
    <row r="1607" spans="2:11" x14ac:dyDescent="0.25">
      <c r="B1607" t="str">
        <f t="shared" si="972"/>
        <v>SPS3</v>
      </c>
      <c r="C1607" t="str">
        <f t="shared" si="981"/>
        <v>CH</v>
      </c>
      <c r="D1607" t="s">
        <v>1613</v>
      </c>
      <c r="E1607" t="str">
        <f t="shared" si="987"/>
        <v>PJ/yr.</v>
      </c>
      <c r="F1607" s="1">
        <f>[1]Transport!B$26/SUM([1]Transport!B$22,[1]Transport!B$26)*F1604*(F$33+F$580)/(F$33+F$580+F$36)</f>
        <v>0.60791097427044549</v>
      </c>
      <c r="G1607" s="1">
        <f>[1]Transport!C$26/SUM([1]Transport!C$22,[1]Transport!C$26)*G1604*(G$33+G$580)/(G$33+G$580+G$36)</f>
        <v>0.59955073907529943</v>
      </c>
      <c r="H1607" s="1">
        <f>[1]Transport!D$26/SUM([1]Transport!D$22,[1]Transport!D$26)*H1604*(H$33+H$580)/(H$33+H$580+H$36)</f>
        <v>0.65224951439238155</v>
      </c>
      <c r="I1607" s="1">
        <f>[1]Transport!E$26/SUM([1]Transport!E$22,[1]Transport!E$26)*I1604*(I$33+I$580)/(I$33+I$580+I$36)</f>
        <v>0.6722168498810317</v>
      </c>
      <c r="J1607" s="1">
        <f>[1]Transport!F$26/SUM([1]Transport!F$22,[1]Transport!F$26)*J1604*(J$33+J$580)/(J$33+J$580+J$36)</f>
        <v>0.86519556059324831</v>
      </c>
      <c r="K1607" s="1">
        <f>[1]Transport!G$26/SUM([1]Transport!G$22,[1]Transport!G$26)*K1604*(K$33+K$580)/(K$33+K$580+K$36)</f>
        <v>0.50531291821152302</v>
      </c>
    </row>
    <row r="1608" spans="2:11" x14ac:dyDescent="0.25">
      <c r="B1608" t="str">
        <f t="shared" si="972"/>
        <v>SPS3</v>
      </c>
      <c r="C1608" t="str">
        <f t="shared" si="981"/>
        <v>CH</v>
      </c>
      <c r="D1608" t="s">
        <v>1614</v>
      </c>
      <c r="E1608" t="str">
        <f t="shared" si="987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1.0482436784565368</v>
      </c>
      <c r="K1608" s="1">
        <f>(K$36+K$716)/([1]Transport!G$22+[1]Transport!G$26)*K1604</f>
        <v>2.5341884352935233</v>
      </c>
    </row>
    <row r="1609" spans="2:11" x14ac:dyDescent="0.25">
      <c r="B1609" t="str">
        <f t="shared" si="972"/>
        <v>SPS3</v>
      </c>
      <c r="C1609" t="str">
        <f t="shared" si="981"/>
        <v>CH</v>
      </c>
      <c r="D1609" t="s">
        <v>1615</v>
      </c>
      <c r="E1609" t="str">
        <f t="shared" si="987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19.238767483690925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15.92554061862567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11.42316573763352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4.8691083120429575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972"/>
        <v>SPS3</v>
      </c>
      <c r="C1610" t="str">
        <f t="shared" si="981"/>
        <v>CH</v>
      </c>
      <c r="D1610" t="s">
        <v>1616</v>
      </c>
      <c r="E1610" t="str">
        <f t="shared" si="987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5.1968326094626596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5.026916310622715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4.4162777353365277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0.44000440741584668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3.1779579533445499E-3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4.9535210442140155E-4</v>
      </c>
    </row>
    <row r="1611" spans="2:11" x14ac:dyDescent="0.25">
      <c r="B1611" t="str">
        <f t="shared" si="972"/>
        <v>SPS3</v>
      </c>
      <c r="C1611" t="str">
        <f t="shared" si="981"/>
        <v>CH</v>
      </c>
      <c r="D1611" t="s">
        <v>1617</v>
      </c>
      <c r="E1611" t="str">
        <f t="shared" si="987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1.714166057375073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4.3922170223373733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10.726715297779606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15.193112845937314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2.8104990756284329</v>
      </c>
    </row>
    <row r="1612" spans="2:11" x14ac:dyDescent="0.25">
      <c r="B1612" t="str">
        <f t="shared" si="972"/>
        <v>SPS3</v>
      </c>
      <c r="C1612" t="str">
        <f t="shared" si="981"/>
        <v>CH</v>
      </c>
      <c r="D1612" t="s">
        <v>1618</v>
      </c>
      <c r="E1612" t="str">
        <f t="shared" si="987"/>
        <v>PJ/yr.</v>
      </c>
      <c r="F1612" s="1">
        <f>F1617</f>
        <v>6.2382936338707173E-2</v>
      </c>
      <c r="G1612" s="1">
        <f t="shared" ref="G1612:K1612" si="999">G1617</f>
        <v>2.5820379446736336E-2</v>
      </c>
      <c r="H1612" s="1">
        <f t="shared" si="999"/>
        <v>2.611262091904416E-2</v>
      </c>
      <c r="I1612" s="1">
        <f t="shared" si="999"/>
        <v>2.5042894914679602E-2</v>
      </c>
      <c r="J1612" s="1">
        <f t="shared" si="999"/>
        <v>2.3043073392143131E-2</v>
      </c>
      <c r="K1612" s="1">
        <f t="shared" si="999"/>
        <v>2.1446690969946558E-2</v>
      </c>
    </row>
    <row r="1613" spans="2:11" x14ac:dyDescent="0.25">
      <c r="B1613" t="str">
        <f t="shared" si="972"/>
        <v>SPS3</v>
      </c>
      <c r="C1613" t="str">
        <f t="shared" si="981"/>
        <v>CH</v>
      </c>
      <c r="D1613" t="s">
        <v>1619</v>
      </c>
      <c r="E1613" t="str">
        <f t="shared" si="987"/>
        <v>PJ/yr.</v>
      </c>
      <c r="F1613" s="1">
        <f>F1612-F1614</f>
        <v>5.7684895935313688E-2</v>
      </c>
      <c r="G1613" s="1">
        <f t="shared" ref="G1613:K1613" si="1000">G1612-G1614</f>
        <v>2.33501089012467E-2</v>
      </c>
      <c r="H1613" s="1">
        <f t="shared" si="1000"/>
        <v>2.3615923773707713E-2</v>
      </c>
      <c r="I1613" s="1">
        <f t="shared" si="1000"/>
        <v>2.0584157474094922E-2</v>
      </c>
      <c r="J1613" s="1">
        <f t="shared" si="1000"/>
        <v>-1.720554822952874</v>
      </c>
      <c r="K1613" s="1">
        <f t="shared" si="1000"/>
        <v>2.117535634466286E-2</v>
      </c>
    </row>
    <row r="1614" spans="2:11" x14ac:dyDescent="0.25">
      <c r="B1614" t="str">
        <f t="shared" si="972"/>
        <v>SPS3</v>
      </c>
      <c r="C1614" t="str">
        <f t="shared" si="981"/>
        <v>CH</v>
      </c>
      <c r="D1614" t="s">
        <v>1620</v>
      </c>
      <c r="E1614" t="str">
        <f t="shared" si="987"/>
        <v>PJ/yr.</v>
      </c>
      <c r="F1614" s="1">
        <f>SUM(F1615:F1616)</f>
        <v>4.6980404033934841E-3</v>
      </c>
      <c r="G1614" s="1">
        <f t="shared" ref="G1614:K1614" si="1001">SUM(G1615:G1616)</f>
        <v>2.4702705454896375E-3</v>
      </c>
      <c r="H1614" s="1">
        <f t="shared" si="1001"/>
        <v>2.4966971453364455E-3</v>
      </c>
      <c r="I1614" s="1">
        <f t="shared" si="1001"/>
        <v>4.4587374405846789E-3</v>
      </c>
      <c r="J1614" s="1">
        <f t="shared" si="1001"/>
        <v>1.7435978963450172</v>
      </c>
      <c r="K1614" s="1">
        <f t="shared" si="1001"/>
        <v>2.7133462528369665E-4</v>
      </c>
    </row>
    <row r="1615" spans="2:11" x14ac:dyDescent="0.25">
      <c r="B1615" t="str">
        <f t="shared" si="972"/>
        <v>SPS3</v>
      </c>
      <c r="C1615" t="str">
        <f t="shared" si="981"/>
        <v>CH</v>
      </c>
      <c r="D1615" t="s">
        <v>1621</v>
      </c>
      <c r="E1615" t="str">
        <f t="shared" si="987"/>
        <v>PJ/yr.</v>
      </c>
      <c r="F1615" s="1">
        <f>[1]Transport!B$27/SUM([1]Transport!B$24,[1]Transport!B$27)*F1612*(F$45+F$612)/(F$45+F$612+F$47)</f>
        <v>4.6980404033934841E-3</v>
      </c>
      <c r="G1615" s="1">
        <f>[1]Transport!C$27/SUM([1]Transport!C$24,[1]Transport!C$27)*G1612*(G$45+G$612)/(G$45+G$612+G$47)</f>
        <v>2.4702705454896375E-3</v>
      </c>
      <c r="H1615" s="1">
        <f>[1]Transport!D$27/SUM([1]Transport!D$24,[1]Transport!D$27)*H1612*(H$45+H$612)/(H$45+H$612+H$47)</f>
        <v>2.4966971453364455E-3</v>
      </c>
      <c r="I1615" s="1">
        <f>[1]Transport!E$27/SUM([1]Transport!E$24,[1]Transport!E$27)*I1612*(I$45+I$612)/(I$45+I$612+I$47)</f>
        <v>4.4587374405846789E-3</v>
      </c>
      <c r="J1615" s="1">
        <f>[1]Transport!F$27/SUM([1]Transport!F$24,[1]Transport!F$27)*J1612*(J$45+J$612)/(J$45+J$612+J$47)</f>
        <v>1.6579566401827843E-4</v>
      </c>
      <c r="K1615" s="1">
        <f>[1]Transport!G$27/SUM([1]Transport!G$24,[1]Transport!G$27)*K1612*(K$45+K$612)/(K$45+K$612+K$47)</f>
        <v>1.5568334468620091E-4</v>
      </c>
    </row>
    <row r="1616" spans="2:11" x14ac:dyDescent="0.25">
      <c r="B1616" t="str">
        <f t="shared" si="972"/>
        <v>SPS3</v>
      </c>
      <c r="C1616" t="str">
        <f t="shared" si="981"/>
        <v>CH</v>
      </c>
      <c r="D1616" t="s">
        <v>1622</v>
      </c>
      <c r="E1616" t="str">
        <f t="shared" si="987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1.743432100680999</v>
      </c>
      <c r="K1616" s="1">
        <f>(K$47+K$714)/([1]Transport!G$24+[1]Transport!G$27)*K1612</f>
        <v>1.1565128059749573E-4</v>
      </c>
    </row>
    <row r="1617" spans="2:11" x14ac:dyDescent="0.25">
      <c r="B1617" t="str">
        <f t="shared" si="972"/>
        <v>SPS3</v>
      </c>
      <c r="C1617" t="str">
        <f t="shared" si="981"/>
        <v>CH</v>
      </c>
      <c r="D1617" t="s">
        <v>1623</v>
      </c>
      <c r="E1617" t="str">
        <f t="shared" si="987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6.2382936338707173E-2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2.5820379446736336E-2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2.611262091904416E-2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2.5042894914679602E-2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2.3043073392143131E-2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2.1446690969946558E-2</v>
      </c>
    </row>
    <row r="1618" spans="2:11" x14ac:dyDescent="0.25">
      <c r="B1618" s="2" t="str">
        <f t="shared" si="972"/>
        <v>SPS3</v>
      </c>
      <c r="C1618" s="2" t="str">
        <f t="shared" si="981"/>
        <v>CH</v>
      </c>
      <c r="D1618" s="2" t="s">
        <v>1624</v>
      </c>
      <c r="E1618" s="2" t="s">
        <v>1518</v>
      </c>
      <c r="F1618" s="3">
        <f>SUM(F1619:F1627)</f>
        <v>2.2034187615354099</v>
      </c>
      <c r="G1618" s="3">
        <f t="shared" ref="G1618" si="1002">SUM(G1619:G1627)</f>
        <v>2.2248512016065014</v>
      </c>
      <c r="H1618" s="3">
        <f t="shared" ref="H1618" si="1003">SUM(H1619:H1627)</f>
        <v>2.2475616528232689</v>
      </c>
      <c r="I1618" s="3">
        <f t="shared" ref="I1618" si="1004">SUM(I1619:I1627)</f>
        <v>2.2917034774597256</v>
      </c>
      <c r="J1618" s="3">
        <f t="shared" ref="J1618" si="1005">SUM(J1619:J1627)</f>
        <v>2.4923521034519802</v>
      </c>
      <c r="K1618" s="3">
        <f t="shared" ref="K1618" si="1006">SUM(K1619:K1627)</f>
        <v>2.6924979206221633</v>
      </c>
    </row>
    <row r="1619" spans="2:11" x14ac:dyDescent="0.25">
      <c r="B1619" t="str">
        <f t="shared" si="972"/>
        <v>SPS3</v>
      </c>
      <c r="C1619" t="str">
        <f t="shared" si="981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972"/>
        <v>SPS3</v>
      </c>
      <c r="C1620" t="str">
        <f t="shared" si="981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2.6763269013245403E-3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5.2441770167154129E-3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5.8415441458054213E-3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5.8737697794726318E-2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6.9368439800971717E-4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2.1559382398619729</v>
      </c>
    </row>
    <row r="1621" spans="2:11" x14ac:dyDescent="0.25">
      <c r="B1621" t="str">
        <f t="shared" si="972"/>
        <v>SPS3</v>
      </c>
      <c r="C1621" t="str">
        <f t="shared" si="981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7.3329743284170253E-4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2.3287088433046931E-3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2.296266227624087E-3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6.103658638996998E-4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4.9822158886053272E-3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7.4317445167357332E-2</v>
      </c>
    </row>
    <row r="1622" spans="2:11" x14ac:dyDescent="0.25">
      <c r="B1622" t="str">
        <f t="shared" si="972"/>
        <v>SPS3</v>
      </c>
      <c r="C1622" t="str">
        <f t="shared" si="981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972"/>
        <v>SPS3</v>
      </c>
      <c r="C1623" t="str">
        <f t="shared" si="981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972"/>
        <v>SPS3</v>
      </c>
      <c r="C1624" t="str">
        <f t="shared" si="981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1.5766874451860826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1.3376850639703342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0.9945011944405574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0.42390473388949795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972"/>
        <v>SPS3</v>
      </c>
      <c r="C1625" t="str">
        <f t="shared" si="981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0.61688229740474698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0.5967126354833614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0.52422769022639892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5.223006975838821E-2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3.7723477945878576E-4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5.8800035937918344E-5</v>
      </c>
    </row>
    <row r="1626" spans="2:11" x14ac:dyDescent="0.25">
      <c r="B1626" t="str">
        <f t="shared" si="972"/>
        <v>SPS3</v>
      </c>
      <c r="C1626" t="str">
        <f t="shared" si="981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0.28020932937021381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0.71798189036728621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1.7534623830661695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2.4835703304761871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0.45942343671382829</v>
      </c>
    </row>
    <row r="1627" spans="2:11" x14ac:dyDescent="0.25">
      <c r="B1627" t="str">
        <f t="shared" si="972"/>
        <v>SPS3</v>
      </c>
      <c r="C1627" t="str">
        <f t="shared" si="981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6.4393946104139965E-3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2.6712869225718945E-3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2.7130674155971465E-3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2.7582270870437887E-3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2.7286379097191263E-3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2.7599988430665151E-3</v>
      </c>
    </row>
    <row r="1628" spans="2:11" x14ac:dyDescent="0.25">
      <c r="B1628" s="2" t="str">
        <f t="shared" si="972"/>
        <v>SPS3</v>
      </c>
      <c r="C1628" s="2" t="str">
        <f t="shared" si="981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972"/>
        <v>SPS3</v>
      </c>
      <c r="C1629" t="str">
        <f t="shared" si="981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07">IFERROR(G1619/G1593,"-")</f>
        <v>-</v>
      </c>
      <c r="H1629" s="1" t="str">
        <f t="shared" si="1007"/>
        <v>-</v>
      </c>
      <c r="I1629" s="1" t="str">
        <f t="shared" si="1007"/>
        <v>-</v>
      </c>
      <c r="J1629" s="1" t="str">
        <f t="shared" si="1007"/>
        <v>-</v>
      </c>
      <c r="K1629" s="1" t="str">
        <f t="shared" si="1007"/>
        <v>-</v>
      </c>
    </row>
    <row r="1630" spans="2:11" x14ac:dyDescent="0.25">
      <c r="B1630" t="str">
        <f t="shared" si="972"/>
        <v>SPS3</v>
      </c>
      <c r="C1630" t="str">
        <f t="shared" si="981"/>
        <v>CH</v>
      </c>
      <c r="D1630" t="s">
        <v>1636</v>
      </c>
      <c r="E1630" t="str">
        <f t="shared" ref="E1630:E1637" si="1008">E1629</f>
        <v>km/MJ</v>
      </c>
      <c r="F1630" s="1">
        <f>IFERROR(F1620/F1594,"-")</f>
        <v>0.26872776416540906</v>
      </c>
      <c r="G1630" s="1">
        <f t="shared" ref="G1630:K1630" si="1009">IFERROR(G1620/G1594,"-")</f>
        <v>0.27031730643187196</v>
      </c>
      <c r="H1630" s="1">
        <f t="shared" si="1009"/>
        <v>0.2716396960753682</v>
      </c>
      <c r="I1630" s="1">
        <f t="shared" si="1009"/>
        <v>0.292078230873278</v>
      </c>
      <c r="J1630" s="1">
        <f t="shared" si="1009"/>
        <v>0.31258387070841293</v>
      </c>
      <c r="K1630" s="1">
        <f t="shared" si="1009"/>
        <v>0.33941346566215208</v>
      </c>
    </row>
    <row r="1631" spans="2:11" x14ac:dyDescent="0.25">
      <c r="B1631" t="str">
        <f t="shared" si="972"/>
        <v>SPS3</v>
      </c>
      <c r="C1631" t="str">
        <f t="shared" si="981"/>
        <v>CH</v>
      </c>
      <c r="D1631" t="s">
        <v>1637</v>
      </c>
      <c r="E1631" t="str">
        <f t="shared" si="1008"/>
        <v>km/MJ</v>
      </c>
      <c r="F1631" s="1">
        <f>IFERROR(F1621/F1596,"-")</f>
        <v>0.17445873125089884</v>
      </c>
      <c r="G1631" s="1">
        <f t="shared" ref="G1631:K1631" si="1010">IFERROR(G1621/G1596,"-")</f>
        <v>0.17528111383819797</v>
      </c>
      <c r="H1631" s="1">
        <f t="shared" si="1010"/>
        <v>0.17532349493154153</v>
      </c>
      <c r="I1631" s="1">
        <f t="shared" si="1010"/>
        <v>0.17636738593765852</v>
      </c>
      <c r="J1631" s="1">
        <f t="shared" si="1010"/>
        <v>0.20280377178448458</v>
      </c>
      <c r="K1631" s="1">
        <f t="shared" si="1010"/>
        <v>0.2186511763317846</v>
      </c>
    </row>
    <row r="1632" spans="2:11" x14ac:dyDescent="0.25">
      <c r="B1632" t="str">
        <f t="shared" si="972"/>
        <v>SPS3</v>
      </c>
      <c r="C1632" t="str">
        <f t="shared" si="981"/>
        <v>CH</v>
      </c>
      <c r="D1632" t="s">
        <v>1638</v>
      </c>
      <c r="E1632" t="str">
        <f t="shared" si="1008"/>
        <v>km/MJ</v>
      </c>
      <c r="F1632" s="1" t="str">
        <f>IFERROR(F1622/F1602,"-")</f>
        <v>-</v>
      </c>
      <c r="G1632" s="1" t="str">
        <f t="shared" ref="G1632:K1632" si="1011">IFERROR(G1622/G1602,"-")</f>
        <v>-</v>
      </c>
      <c r="H1632" s="1" t="str">
        <f t="shared" si="1011"/>
        <v>-</v>
      </c>
      <c r="I1632" s="1" t="str">
        <f t="shared" si="1011"/>
        <v>-</v>
      </c>
      <c r="J1632" s="1" t="str">
        <f t="shared" si="1011"/>
        <v>-</v>
      </c>
      <c r="K1632" s="1" t="str">
        <f t="shared" si="1011"/>
        <v>-</v>
      </c>
    </row>
    <row r="1633" spans="2:11" x14ac:dyDescent="0.25">
      <c r="B1633" t="str">
        <f t="shared" si="972"/>
        <v>SPS3</v>
      </c>
      <c r="C1633" t="str">
        <f t="shared" si="981"/>
        <v>CH</v>
      </c>
      <c r="D1633" t="s">
        <v>1639</v>
      </c>
      <c r="E1633" t="str">
        <f t="shared" si="1008"/>
        <v>km/MJ</v>
      </c>
      <c r="F1633" s="1" t="str">
        <f>IFERROR(F1623/F1603,"-")</f>
        <v>-</v>
      </c>
      <c r="G1633" s="1" t="str">
        <f t="shared" ref="G1633:K1633" si="1012">IFERROR(G1623/G1603,"-")</f>
        <v>-</v>
      </c>
      <c r="H1633" s="1" t="str">
        <f t="shared" si="1012"/>
        <v>-</v>
      </c>
      <c r="I1633" s="1" t="str">
        <f t="shared" si="1012"/>
        <v>-</v>
      </c>
      <c r="J1633" s="1" t="str">
        <f t="shared" si="1012"/>
        <v>-</v>
      </c>
      <c r="K1633" s="1" t="str">
        <f t="shared" si="1012"/>
        <v>-</v>
      </c>
    </row>
    <row r="1634" spans="2:11" x14ac:dyDescent="0.25">
      <c r="B1634" t="str">
        <f t="shared" si="972"/>
        <v>SPS3</v>
      </c>
      <c r="C1634" t="str">
        <f t="shared" si="981"/>
        <v>CH</v>
      </c>
      <c r="D1634" t="s">
        <v>1640</v>
      </c>
      <c r="E1634" t="str">
        <f t="shared" si="1008"/>
        <v>km/MJ</v>
      </c>
      <c r="F1634" s="1">
        <f>IFERROR(F1624/F1609,"-")</f>
        <v>8.1953661871669845E-2</v>
      </c>
      <c r="G1634" s="1">
        <f t="shared" ref="G1634:K1634" si="1013">IFERROR(G1624/G1609,"-")</f>
        <v>8.3996210615660261E-2</v>
      </c>
      <c r="H1634" s="1">
        <f t="shared" si="1013"/>
        <v>8.706003373164603E-2</v>
      </c>
      <c r="I1634" s="1">
        <f t="shared" si="1013"/>
        <v>8.706003373164603E-2</v>
      </c>
      <c r="J1634" s="1" t="str">
        <f t="shared" si="1013"/>
        <v>-</v>
      </c>
      <c r="K1634" s="1" t="str">
        <f t="shared" si="1013"/>
        <v>-</v>
      </c>
    </row>
    <row r="1635" spans="2:11" x14ac:dyDescent="0.25">
      <c r="B1635" t="str">
        <f t="shared" si="972"/>
        <v>SPS3</v>
      </c>
      <c r="C1635" t="str">
        <f t="shared" si="981"/>
        <v>CH</v>
      </c>
      <c r="D1635" t="s">
        <v>1641</v>
      </c>
      <c r="E1635" t="str">
        <f t="shared" si="1008"/>
        <v>km/MJ</v>
      </c>
      <c r="F1635" s="1">
        <f>IFERROR(F1625/F1610,"-")</f>
        <v>0.11870351496053501</v>
      </c>
      <c r="G1635" s="1">
        <f t="shared" ref="G1635:K1635" si="1014">IFERROR(G1625/G1610,"-")</f>
        <v>0.11870351496053511</v>
      </c>
      <c r="H1635" s="1">
        <f t="shared" si="1014"/>
        <v>0.1187035149605354</v>
      </c>
      <c r="I1635" s="1">
        <f t="shared" si="1014"/>
        <v>0.11870351496053481</v>
      </c>
      <c r="J1635" s="1">
        <f t="shared" si="1014"/>
        <v>0.11870351496053494</v>
      </c>
      <c r="K1635" s="1">
        <f t="shared" si="1014"/>
        <v>0.11870351496053502</v>
      </c>
    </row>
    <row r="1636" spans="2:11" x14ac:dyDescent="0.25">
      <c r="B1636" t="str">
        <f t="shared" si="972"/>
        <v>SPS3</v>
      </c>
      <c r="C1636" t="str">
        <f t="shared" si="981"/>
        <v>CH</v>
      </c>
      <c r="D1636" t="s">
        <v>1642</v>
      </c>
      <c r="E1636" t="str">
        <f t="shared" si="1008"/>
        <v>km/MJ</v>
      </c>
      <c r="F1636" s="1" t="str">
        <f>IFERROR(F1626/F1611,"-")</f>
        <v>-</v>
      </c>
      <c r="G1636" s="1">
        <f t="shared" ref="G1636:K1636" si="1015">IFERROR(G1626/G1611,"-")</f>
        <v>0.16346685209675799</v>
      </c>
      <c r="H1636" s="1">
        <f t="shared" si="1015"/>
        <v>0.16346685209675799</v>
      </c>
      <c r="I1636" s="1">
        <f t="shared" si="1015"/>
        <v>0.16346685209675793</v>
      </c>
      <c r="J1636" s="1">
        <f t="shared" si="1015"/>
        <v>0.16346685209675788</v>
      </c>
      <c r="K1636" s="1">
        <f t="shared" si="1015"/>
        <v>0.16346685209675807</v>
      </c>
    </row>
    <row r="1637" spans="2:11" x14ac:dyDescent="0.25">
      <c r="B1637" t="str">
        <f t="shared" si="972"/>
        <v>SPS3</v>
      </c>
      <c r="C1637" t="str">
        <f t="shared" si="981"/>
        <v>CH</v>
      </c>
      <c r="D1637" t="s">
        <v>1643</v>
      </c>
      <c r="E1637" t="str">
        <f t="shared" si="1008"/>
        <v>km/MJ</v>
      </c>
      <c r="F1637" s="1">
        <f>IFERROR(F1627/F1617,"-")</f>
        <v>0.10322365358776003</v>
      </c>
      <c r="G1637" s="1">
        <f t="shared" ref="G1637:K1637" si="1016">IFERROR(G1627/G1617,"-")</f>
        <v>0.1034565323907175</v>
      </c>
      <c r="H1637" s="1">
        <f t="shared" si="1016"/>
        <v>0.10389870185793885</v>
      </c>
      <c r="I1637" s="1">
        <f t="shared" si="1016"/>
        <v>0.11014010546468314</v>
      </c>
      <c r="J1637" s="1">
        <f t="shared" si="1016"/>
        <v>0.11841466905406355</v>
      </c>
      <c r="K1637" s="1">
        <f t="shared" si="1016"/>
        <v>0.12869112754662834</v>
      </c>
    </row>
    <row r="1638" spans="2:11" x14ac:dyDescent="0.25">
      <c r="B1638" s="2" t="str">
        <f t="shared" si="972"/>
        <v>SPS3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28.743324227763541</v>
      </c>
      <c r="G1638" s="1">
        <f t="shared" ref="G1638:K1638" si="1017">G1639+G1643+G1647+G1653</f>
        <v>25.536357805158957</v>
      </c>
      <c r="H1638" s="1">
        <f t="shared" si="1017"/>
        <v>22.883660654541298</v>
      </c>
      <c r="I1638" s="1">
        <f t="shared" si="1017"/>
        <v>17.151801867626823</v>
      </c>
      <c r="J1638" s="1">
        <f t="shared" si="1017"/>
        <v>28.081160047494315</v>
      </c>
      <c r="K1638" s="1">
        <f t="shared" si="1017"/>
        <v>28.975078011290826</v>
      </c>
    </row>
    <row r="1639" spans="2:11" x14ac:dyDescent="0.25">
      <c r="B1639" t="str">
        <f t="shared" si="972"/>
        <v>SPS3</v>
      </c>
      <c r="C1639" t="str">
        <f t="shared" ref="C1639:C1682" si="1018">C1638</f>
        <v>CH</v>
      </c>
      <c r="D1639" t="s">
        <v>1653</v>
      </c>
      <c r="E1639" t="s">
        <v>8</v>
      </c>
      <c r="F1639" s="1">
        <f>SUM(F1640:F1642)</f>
        <v>9.2070291289143817</v>
      </c>
      <c r="G1639" s="1">
        <f t="shared" ref="G1639:K1639" si="1019">SUM(G1640:G1642)</f>
        <v>11.064518425627311</v>
      </c>
      <c r="H1639" s="1">
        <f t="shared" si="1019"/>
        <v>12.825186186548319</v>
      </c>
      <c r="I1639" s="1">
        <f t="shared" si="1019"/>
        <v>17.151580016092687</v>
      </c>
      <c r="J1639" s="1">
        <f t="shared" si="1019"/>
        <v>11.737628848622856</v>
      </c>
      <c r="K1639" s="1">
        <f t="shared" si="1019"/>
        <v>12.633129921303803</v>
      </c>
    </row>
    <row r="1640" spans="2:11" x14ac:dyDescent="0.25">
      <c r="B1640" t="str">
        <f t="shared" si="972"/>
        <v>SPS3</v>
      </c>
      <c r="C1640" t="str">
        <f t="shared" si="1018"/>
        <v>CH</v>
      </c>
      <c r="D1640" t="s">
        <v>1654</v>
      </c>
      <c r="E1640" t="str">
        <f t="shared" ref="E1640:E1642" si="1020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8.711809997176081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9.7093219886090889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10.452588275482805</v>
      </c>
    </row>
    <row r="1641" spans="2:11" x14ac:dyDescent="0.25">
      <c r="B1641" t="str">
        <f t="shared" si="972"/>
        <v>SPS3</v>
      </c>
      <c r="C1641" t="str">
        <f t="shared" si="1018"/>
        <v>CH</v>
      </c>
      <c r="D1641" t="s">
        <v>1655</v>
      </c>
      <c r="E1641" t="str">
        <f t="shared" si="1020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1.5023091158134352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1.5903379146960701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1.7461704148347064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1.8943937330962279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2.0282537637189866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2.1805158035683241</v>
      </c>
    </row>
    <row r="1642" spans="2:11" x14ac:dyDescent="0.25">
      <c r="B1642" t="str">
        <f t="shared" si="972"/>
        <v>SPS3</v>
      </c>
      <c r="C1642" t="str">
        <f t="shared" si="1018"/>
        <v>CH</v>
      </c>
      <c r="D1642" t="s">
        <v>1656</v>
      </c>
      <c r="E1642" t="str">
        <f t="shared" si="1020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1.5682750740803169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2.8711143194092581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6.5453762858203763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5.3096294781096296E-5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2.5842252673900504E-5</v>
      </c>
    </row>
    <row r="1643" spans="2:11" x14ac:dyDescent="0.25">
      <c r="B1643" t="str">
        <f t="shared" si="972"/>
        <v>SPS3</v>
      </c>
      <c r="C1643" t="str">
        <f t="shared" si="1018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21">SUM(G1644:G1646)</f>
        <v>0</v>
      </c>
      <c r="H1643" s="1">
        <f t="shared" si="1021"/>
        <v>0</v>
      </c>
      <c r="I1643" s="1">
        <f t="shared" si="1021"/>
        <v>1.0610753974219414E-4</v>
      </c>
      <c r="J1643" s="1">
        <f t="shared" si="1021"/>
        <v>2.4999472287756002E-5</v>
      </c>
      <c r="K1643" s="1">
        <f t="shared" si="1021"/>
        <v>5.1176394282865532E-6</v>
      </c>
    </row>
    <row r="1644" spans="2:11" x14ac:dyDescent="0.25">
      <c r="B1644" t="str">
        <f t="shared" si="972"/>
        <v>SPS3</v>
      </c>
      <c r="C1644" t="str">
        <f t="shared" si="1018"/>
        <v>CH</v>
      </c>
      <c r="D1644" t="s">
        <v>1658</v>
      </c>
      <c r="E1644" t="str">
        <f t="shared" ref="E1644:E1646" si="1022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25">
      <c r="B1645" t="str">
        <f t="shared" si="972"/>
        <v>SPS3</v>
      </c>
      <c r="C1645" t="str">
        <f t="shared" si="1018"/>
        <v>CH</v>
      </c>
      <c r="D1645" t="s">
        <v>1659</v>
      </c>
      <c r="E1645" t="str">
        <f t="shared" si="1022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972"/>
        <v>SPS3</v>
      </c>
      <c r="C1646" t="str">
        <f t="shared" si="1018"/>
        <v>CH</v>
      </c>
      <c r="D1646" t="s">
        <v>1660</v>
      </c>
      <c r="E1646" t="str">
        <f t="shared" si="1022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1.0610753974219414E-4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2.4999472287756002E-5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5.1176394282865532E-6</v>
      </c>
    </row>
    <row r="1647" spans="2:11" x14ac:dyDescent="0.25">
      <c r="B1647" t="str">
        <f t="shared" si="972"/>
        <v>SPS3</v>
      </c>
      <c r="C1647" t="str">
        <f t="shared" si="1018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23">G1652</f>
        <v>3.0998069422762092E-5</v>
      </c>
      <c r="H1647" s="1">
        <f t="shared" si="1023"/>
        <v>1.4158295387595298E-4</v>
      </c>
      <c r="I1647" s="1">
        <f t="shared" si="1023"/>
        <v>2.6677899031628239E-6</v>
      </c>
      <c r="J1647" s="1">
        <f t="shared" si="1023"/>
        <v>3.1391788735200967E-4</v>
      </c>
      <c r="K1647" s="1">
        <f t="shared" si="1023"/>
        <v>0</v>
      </c>
    </row>
    <row r="1648" spans="2:11" x14ac:dyDescent="0.25">
      <c r="B1648" t="str">
        <f t="shared" si="972"/>
        <v>SPS3</v>
      </c>
      <c r="C1648" t="str">
        <f t="shared" si="1018"/>
        <v>CH</v>
      </c>
      <c r="D1648" t="s">
        <v>1662</v>
      </c>
      <c r="E1648" t="str">
        <f t="shared" ref="E1648:E1660" si="1024">E1647</f>
        <v>PJ/yr.</v>
      </c>
      <c r="F1648" s="1">
        <f>F1647-F1649</f>
        <v>1.663473060767557</v>
      </c>
      <c r="G1648" s="1">
        <f t="shared" ref="G1648:K1648" si="1025">G1647-G1649</f>
        <v>2.93011819875068E-5</v>
      </c>
      <c r="H1648" s="1">
        <f t="shared" si="1025"/>
        <v>1.3377972807740668E-4</v>
      </c>
      <c r="I1648" s="1">
        <f t="shared" si="1025"/>
        <v>2.3896336485670069E-6</v>
      </c>
      <c r="J1648" s="1">
        <f t="shared" si="1025"/>
        <v>1.8422706707635908E-4</v>
      </c>
      <c r="K1648" s="1">
        <f t="shared" si="1025"/>
        <v>0</v>
      </c>
    </row>
    <row r="1649" spans="2:11" x14ac:dyDescent="0.25">
      <c r="B1649" t="str">
        <f t="shared" si="972"/>
        <v>SPS3</v>
      </c>
      <c r="C1649" t="str">
        <f t="shared" si="1018"/>
        <v>CH</v>
      </c>
      <c r="D1649" t="s">
        <v>1663</v>
      </c>
      <c r="E1649" t="str">
        <f t="shared" si="1024"/>
        <v>PJ/yr.</v>
      </c>
      <c r="F1649" s="1">
        <f>SUM(F1650:F1651)</f>
        <v>9.6334702960801058E-2</v>
      </c>
      <c r="G1649" s="1">
        <f t="shared" ref="G1649:K1649" si="1026">SUM(G1650:G1651)</f>
        <v>1.6968874352552918E-6</v>
      </c>
      <c r="H1649" s="1">
        <f t="shared" si="1026"/>
        <v>7.8032257985463082E-6</v>
      </c>
      <c r="I1649" s="1">
        <f t="shared" si="1026"/>
        <v>2.7815625459581697E-7</v>
      </c>
      <c r="J1649" s="1">
        <f t="shared" si="1026"/>
        <v>1.2969082027565059E-4</v>
      </c>
      <c r="K1649" s="1">
        <f t="shared" si="1026"/>
        <v>0</v>
      </c>
    </row>
    <row r="1650" spans="2:11" x14ac:dyDescent="0.25">
      <c r="B1650" t="str">
        <f t="shared" si="972"/>
        <v>SPS3</v>
      </c>
      <c r="C1650" t="str">
        <f t="shared" si="1018"/>
        <v>CH</v>
      </c>
      <c r="D1650" t="s">
        <v>1664</v>
      </c>
      <c r="E1650" t="str">
        <f t="shared" si="1024"/>
        <v>PJ/yr.</v>
      </c>
      <c r="F1650" s="1">
        <f>[1]Transport!B$25/SUM([1]Transport!B$21,[1]Transport!B$25)*F1647*(F$34+F$598)/(F$34+F$598+F$37)</f>
        <v>9.6334702960801058E-2</v>
      </c>
      <c r="G1650" s="1">
        <f>[1]Transport!C$25/SUM([1]Transport!C$21,[1]Transport!C$25)*G1647*(G$34+G$598)/(G$34+G$598+G$37)</f>
        <v>1.6968874352552918E-6</v>
      </c>
      <c r="H1650" s="1">
        <f>[1]Transport!D$25/SUM([1]Transport!D$21,[1]Transport!D$25)*H1647*(H$34+H$598)/(H$34+H$598+H$37)</f>
        <v>7.8032257985463082E-6</v>
      </c>
      <c r="I1650" s="1">
        <f>[1]Transport!E$25/SUM([1]Transport!E$21,[1]Transport!E$25)*I1647*(I$34+I$598)/(I$34+I$598+I$37)</f>
        <v>2.7815625459581697E-7</v>
      </c>
      <c r="J1650" s="1">
        <f>[1]Transport!F$25/SUM([1]Transport!F$21,[1]Transport!F$25)*J1647*(J$34+J$598)/(J$34+J$598+J$37)</f>
        <v>5.5476800843138382E-5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972"/>
        <v>SPS3</v>
      </c>
      <c r="C1651" t="str">
        <f t="shared" si="1018"/>
        <v>CH</v>
      </c>
      <c r="D1651" t="s">
        <v>1665</v>
      </c>
      <c r="E1651" t="str">
        <f t="shared" si="1024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7.4214019432512218E-5</v>
      </c>
      <c r="K1651" s="1">
        <f>(K$37+K$717)/([1]Transport!G$21+[1]Transport!G$25)*K1647</f>
        <v>0</v>
      </c>
    </row>
    <row r="1652" spans="2:11" x14ac:dyDescent="0.25">
      <c r="B1652" t="str">
        <f t="shared" ref="B1652:B1715" si="1027">B1651</f>
        <v>SPS3</v>
      </c>
      <c r="C1652" t="str">
        <f t="shared" si="1018"/>
        <v>CH</v>
      </c>
      <c r="D1652" t="s">
        <v>1666</v>
      </c>
      <c r="E1652" t="str">
        <f t="shared" si="1024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3.0998069422762092E-5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1.4158295387595298E-4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2.6677899031628239E-6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3.1391788735200967E-4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27"/>
        <v>SPS3</v>
      </c>
      <c r="C1653" t="str">
        <f t="shared" si="1018"/>
        <v>CH</v>
      </c>
      <c r="D1653" t="s">
        <v>1667</v>
      </c>
      <c r="E1653" t="str">
        <f t="shared" si="1024"/>
        <v>PJ/yr.</v>
      </c>
      <c r="F1653" s="1">
        <f>SUM(F1658:F1660)</f>
        <v>17.776487335120802</v>
      </c>
      <c r="G1653" s="1">
        <f t="shared" ref="G1653:K1653" si="1028">SUM(G1658:G1660)</f>
        <v>14.471808381462223</v>
      </c>
      <c r="H1653" s="1">
        <f t="shared" si="1028"/>
        <v>10.058332885039103</v>
      </c>
      <c r="I1653" s="1">
        <f t="shared" si="1028"/>
        <v>1.1307620448716959E-4</v>
      </c>
      <c r="J1653" s="1">
        <f t="shared" si="1028"/>
        <v>16.343192281511818</v>
      </c>
      <c r="K1653" s="1">
        <f t="shared" si="1028"/>
        <v>16.341942972347596</v>
      </c>
    </row>
    <row r="1654" spans="2:11" x14ac:dyDescent="0.25">
      <c r="B1654" t="str">
        <f t="shared" si="1027"/>
        <v>SPS3</v>
      </c>
      <c r="C1654" t="str">
        <f t="shared" si="1018"/>
        <v>CH</v>
      </c>
      <c r="D1654" t="s">
        <v>1668</v>
      </c>
      <c r="E1654" t="str">
        <f t="shared" si="1024"/>
        <v>PJ/yr.</v>
      </c>
      <c r="F1654" s="1">
        <f>F1653-F1655</f>
        <v>17.334242344459518</v>
      </c>
      <c r="G1654" s="1">
        <f t="shared" ref="G1654:K1654" si="1029">G1653-G1655</f>
        <v>14.089017199203525</v>
      </c>
      <c r="H1654" s="1">
        <f t="shared" si="1029"/>
        <v>9.7340617881914007</v>
      </c>
      <c r="I1654" s="1">
        <f t="shared" si="1029"/>
        <v>1.083360856797618E-4</v>
      </c>
      <c r="J1654" s="1">
        <f t="shared" si="1029"/>
        <v>14.285341072532987</v>
      </c>
      <c r="K1654" s="1">
        <f t="shared" si="1029"/>
        <v>-1.328443455068463</v>
      </c>
    </row>
    <row r="1655" spans="2:11" x14ac:dyDescent="0.25">
      <c r="B1655" t="str">
        <f t="shared" si="1027"/>
        <v>SPS3</v>
      </c>
      <c r="C1655" t="str">
        <f t="shared" si="1018"/>
        <v>CH</v>
      </c>
      <c r="D1655" t="s">
        <v>1669</v>
      </c>
      <c r="E1655" t="str">
        <f t="shared" si="1024"/>
        <v>PJ/yr.</v>
      </c>
      <c r="F1655" s="1">
        <f>SUM(F1656:F1657)</f>
        <v>0.44224499066128165</v>
      </c>
      <c r="G1655" s="1">
        <f t="shared" ref="G1655:K1655" si="1030">SUM(G1656:G1657)</f>
        <v>0.38279118225869868</v>
      </c>
      <c r="H1655" s="1">
        <f t="shared" si="1030"/>
        <v>0.32427109684770289</v>
      </c>
      <c r="I1655" s="1">
        <f t="shared" si="1030"/>
        <v>4.7401188074077886E-6</v>
      </c>
      <c r="J1655" s="1">
        <f t="shared" si="1030"/>
        <v>2.0578512089788319</v>
      </c>
      <c r="K1655" s="1">
        <f t="shared" si="1030"/>
        <v>17.670386427416059</v>
      </c>
    </row>
    <row r="1656" spans="2:11" x14ac:dyDescent="0.25">
      <c r="B1656" t="str">
        <f t="shared" si="1027"/>
        <v>SPS3</v>
      </c>
      <c r="C1656" t="str">
        <f t="shared" si="1018"/>
        <v>CH</v>
      </c>
      <c r="D1656" t="s">
        <v>1670</v>
      </c>
      <c r="E1656" t="str">
        <f t="shared" si="1024"/>
        <v>PJ/yr.</v>
      </c>
      <c r="F1656" s="1">
        <f>[1]Transport!B$26/SUM([1]Transport!B$22,[1]Transport!B$26)*F1653*(F$33+F$580)/(F$33+F$580+F$36)</f>
        <v>0.44224499066128165</v>
      </c>
      <c r="G1656" s="1">
        <f>[1]Transport!C$26/SUM([1]Transport!C$22,[1]Transport!C$26)*G1653*(G$33+G$580)/(G$33+G$580+G$36)</f>
        <v>0.38279118225869868</v>
      </c>
      <c r="H1656" s="1">
        <f>[1]Transport!D$26/SUM([1]Transport!D$22,[1]Transport!D$26)*H1653*(H$33+H$580)/(H$33+H$580+H$36)</f>
        <v>0.32427109684770289</v>
      </c>
      <c r="I1656" s="1">
        <f>[1]Transport!E$26/SUM([1]Transport!E$22,[1]Transport!E$26)*I1653*(I$33+I$580)/(I$33+I$580+I$36)</f>
        <v>4.7401188074077886E-6</v>
      </c>
      <c r="J1656" s="1">
        <f>[1]Transport!F$26/SUM([1]Transport!F$22,[1]Transport!F$26)*J1653*(J$33+J$580)/(J$33+J$580+J$36)</f>
        <v>0.93049399951372558</v>
      </c>
      <c r="K1656" s="1">
        <f>[1]Transport!G$26/SUM([1]Transport!G$22,[1]Transport!G$26)*K1653*(K$33+K$580)/(K$33+K$580+K$36)</f>
        <v>2.9376774322755934</v>
      </c>
    </row>
    <row r="1657" spans="2:11" x14ac:dyDescent="0.25">
      <c r="B1657" t="str">
        <f t="shared" si="1027"/>
        <v>SPS3</v>
      </c>
      <c r="C1657" t="str">
        <f t="shared" si="1018"/>
        <v>CH</v>
      </c>
      <c r="D1657" t="s">
        <v>1671</v>
      </c>
      <c r="E1657" t="str">
        <f t="shared" si="1024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1.1273572094651061</v>
      </c>
      <c r="K1657" s="1">
        <f>(K$36+K$716)/([1]Transport!G$22+[1]Transport!G$26)*K1653</f>
        <v>14.732708995140465</v>
      </c>
    </row>
    <row r="1658" spans="2:11" x14ac:dyDescent="0.25">
      <c r="B1658" t="str">
        <f t="shared" si="1027"/>
        <v>SPS3</v>
      </c>
      <c r="C1658" t="str">
        <f t="shared" si="1018"/>
        <v>CH</v>
      </c>
      <c r="D1658" t="s">
        <v>1672</v>
      </c>
      <c r="E1658" t="str">
        <f t="shared" si="1024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27"/>
        <v>SPS3</v>
      </c>
      <c r="C1659" t="str">
        <f t="shared" si="1018"/>
        <v>CH</v>
      </c>
      <c r="D1659" t="s">
        <v>1673</v>
      </c>
      <c r="E1659" t="str">
        <f t="shared" si="1024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0.39608952878609366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0.27749687184463639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7.710065670520818E-4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1.0637375116103422E-4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2.7751931779930553E-4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27"/>
        <v>SPS3</v>
      </c>
      <c r="C1660" t="str">
        <f t="shared" si="1018"/>
        <v>CH</v>
      </c>
      <c r="D1660" t="s">
        <v>1674</v>
      </c>
      <c r="E1660" t="str">
        <f t="shared" si="1024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14.194311509617586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10.057561878472052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6.7024533261353729E-6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16.34291476219402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16.341942972347596</v>
      </c>
    </row>
    <row r="1661" spans="2:11" x14ac:dyDescent="0.25">
      <c r="B1661" s="2" t="str">
        <f t="shared" si="1027"/>
        <v>SPS3</v>
      </c>
      <c r="C1661" s="2" t="str">
        <f t="shared" si="1018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si="1027"/>
        <v>SPS3</v>
      </c>
      <c r="C1662" t="str">
        <f t="shared" si="1018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0.22017045262536084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0.24502563722589676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0.26340107396293244</v>
      </c>
    </row>
    <row r="1663" spans="2:11" x14ac:dyDescent="0.25">
      <c r="B1663" t="str">
        <f t="shared" si="1027"/>
        <v>SPS3</v>
      </c>
      <c r="C1663" t="str">
        <f t="shared" si="1018"/>
        <v>CH</v>
      </c>
      <c r="D1663" t="s">
        <v>1677</v>
      </c>
      <c r="E1663" t="str">
        <f t="shared" ref="E1663:E1666" si="1031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2.5094619874047878E-2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2.6565055766818634E-2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2.9168086869964253E-2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3.16440139538713E-2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3.3880016218283883E-2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3.642340623771901E-2</v>
      </c>
    </row>
    <row r="1664" spans="2:11" x14ac:dyDescent="0.25">
      <c r="B1664" t="str">
        <f t="shared" si="1027"/>
        <v>SPS3</v>
      </c>
      <c r="C1664" t="str">
        <f t="shared" si="1018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3.86954828061122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7.0841625054989201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16.150004531317698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1.31009336035967E-4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6.3762949532341796E-5</v>
      </c>
    </row>
    <row r="1665" spans="2:11" x14ac:dyDescent="0.25">
      <c r="B1665" t="str">
        <f t="shared" si="1027"/>
        <v>SPS3</v>
      </c>
      <c r="C1665" t="str">
        <f t="shared" si="1018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25">
      <c r="B1666" t="str">
        <f t="shared" si="1027"/>
        <v>SPS3</v>
      </c>
      <c r="C1666" t="str">
        <f t="shared" si="1018"/>
        <v>CH</v>
      </c>
      <c r="D1666" t="s">
        <v>1680</v>
      </c>
      <c r="E1666" t="str">
        <f t="shared" si="1031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27"/>
        <v>SPS3</v>
      </c>
      <c r="C1667" t="str">
        <f t="shared" si="1018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1.9030156584197899E-4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4.48360100813016E-5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9.1783750616009099E-6</v>
      </c>
    </row>
    <row r="1668" spans="2:11" x14ac:dyDescent="0.25">
      <c r="B1668" t="str">
        <f t="shared" si="1027"/>
        <v>SPS3</v>
      </c>
      <c r="C1668" t="str">
        <f t="shared" si="1018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2.8097030441732101E-5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1.2833252648185501E-4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2.4181174994811099E-6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2.8453902457089501E-4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27"/>
        <v>SPS3</v>
      </c>
      <c r="C1669" t="str">
        <f t="shared" si="1018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27"/>
        <v>SPS3</v>
      </c>
      <c r="C1670" t="str">
        <f t="shared" si="1018"/>
        <v>CH</v>
      </c>
      <c r="D1670" t="s">
        <v>1684</v>
      </c>
      <c r="E1670" t="str">
        <f t="shared" ref="E1670" si="1032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1.6053801259520949E-3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1.1247153249381626E-3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3.1249465834589339E-6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4.3114067307020758E-7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1.1248063000508942E-6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27"/>
        <v>SPS3</v>
      </c>
      <c r="C1671" t="str">
        <f t="shared" si="1018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14.0278091150081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9.9395844664951092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6.6238320750937797E-6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16.151208779064099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16.150248388526201</v>
      </c>
    </row>
    <row r="1672" spans="2:11" x14ac:dyDescent="0.25">
      <c r="B1672" s="2" t="str">
        <f t="shared" si="1027"/>
        <v>SPS3</v>
      </c>
      <c r="C1672" s="2" t="str">
        <f t="shared" si="1018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27"/>
        <v>SPS3</v>
      </c>
      <c r="C1673" t="str">
        <f t="shared" si="1018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33">IFERROR(G1662/G1640,"-")</f>
        <v>2.5301857215832019E-2</v>
      </c>
      <c r="H1673" s="7">
        <f t="shared" si="1033"/>
        <v>2.5290901397750198E-2</v>
      </c>
      <c r="I1673" s="7">
        <f t="shared" si="1033"/>
        <v>2.5272641700947188E-2</v>
      </c>
      <c r="J1673" s="7">
        <f t="shared" si="1033"/>
        <v>2.5236122307341253E-2</v>
      </c>
      <c r="K1673" s="7">
        <f t="shared" si="1033"/>
        <v>2.5199602913735349E-2</v>
      </c>
    </row>
    <row r="1674" spans="2:11" x14ac:dyDescent="0.25">
      <c r="B1674" t="str">
        <f t="shared" si="1027"/>
        <v>SPS3</v>
      </c>
      <c r="C1674" t="str">
        <f t="shared" si="1018"/>
        <v>CH</v>
      </c>
      <c r="D1674" t="s">
        <v>1688</v>
      </c>
      <c r="E1674" t="s">
        <v>1230</v>
      </c>
      <c r="F1674" s="7">
        <f>IFERROR(F1663/F1641,"-")</f>
        <v>1.6704032219401286E-2</v>
      </c>
      <c r="G1674" s="7">
        <f t="shared" ref="G1674:K1674" si="1034">IFERROR(G1663/G1641,"-")</f>
        <v>1.67040322194013E-2</v>
      </c>
      <c r="H1674" s="7">
        <f t="shared" si="1034"/>
        <v>1.6704032219401289E-2</v>
      </c>
      <c r="I1674" s="7">
        <f t="shared" si="1034"/>
        <v>1.67040322194013E-2</v>
      </c>
      <c r="J1674" s="7">
        <f t="shared" si="1034"/>
        <v>1.6704032219401289E-2</v>
      </c>
      <c r="K1674" s="7">
        <f t="shared" si="1034"/>
        <v>1.6704032219401303E-2</v>
      </c>
    </row>
    <row r="1675" spans="2:11" x14ac:dyDescent="0.25">
      <c r="B1675" t="str">
        <f t="shared" si="1027"/>
        <v>SPS3</v>
      </c>
      <c r="C1675" t="str">
        <f t="shared" si="1018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35">IFERROR(G1664/G1642,"-")</f>
        <v>2.4673913043478284</v>
      </c>
      <c r="H1675">
        <f t="shared" si="1035"/>
        <v>2.4673913043478226</v>
      </c>
      <c r="I1675">
        <f t="shared" si="1035"/>
        <v>2.4673913043478306</v>
      </c>
      <c r="J1675">
        <f t="shared" si="1035"/>
        <v>2.4673913043478475</v>
      </c>
      <c r="K1675">
        <f t="shared" si="1035"/>
        <v>2.467391304347839</v>
      </c>
    </row>
    <row r="1676" spans="2:11" x14ac:dyDescent="0.25">
      <c r="B1676" t="str">
        <f t="shared" si="1027"/>
        <v>SPS3</v>
      </c>
      <c r="C1676" t="str">
        <f t="shared" si="1018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36">IFERROR(G1665/G1644,"-")</f>
        <v>-</v>
      </c>
      <c r="H1676" t="str">
        <f t="shared" si="1036"/>
        <v>-</v>
      </c>
      <c r="I1676" t="str">
        <f t="shared" si="1036"/>
        <v>-</v>
      </c>
      <c r="J1676" t="str">
        <f t="shared" si="1036"/>
        <v>-</v>
      </c>
      <c r="K1676" t="str">
        <f t="shared" si="1036"/>
        <v>-</v>
      </c>
    </row>
    <row r="1677" spans="2:11" x14ac:dyDescent="0.25">
      <c r="B1677" t="str">
        <f t="shared" si="1027"/>
        <v>SPS3</v>
      </c>
      <c r="C1677" t="str">
        <f t="shared" si="1018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37">IFERROR(G1666/G1645,"-")</f>
        <v>-</v>
      </c>
      <c r="H1677" t="str">
        <f t="shared" si="1037"/>
        <v>-</v>
      </c>
      <c r="I1677" t="str">
        <f t="shared" si="1037"/>
        <v>-</v>
      </c>
      <c r="J1677" t="str">
        <f t="shared" si="1037"/>
        <v>-</v>
      </c>
      <c r="K1677" t="str">
        <f t="shared" si="1037"/>
        <v>-</v>
      </c>
    </row>
    <row r="1678" spans="2:11" x14ac:dyDescent="0.25">
      <c r="B1678" t="str">
        <f t="shared" si="1027"/>
        <v>SPS3</v>
      </c>
      <c r="C1678" t="str">
        <f t="shared" si="1018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38">IFERROR(G1667/G1646,"-")</f>
        <v>-</v>
      </c>
      <c r="H1678" t="str">
        <f t="shared" si="1038"/>
        <v>-</v>
      </c>
      <c r="I1678">
        <f t="shared" si="1038"/>
        <v>1.7934782608695687</v>
      </c>
      <c r="J1678">
        <f t="shared" si="1038"/>
        <v>1.7934782608695683</v>
      </c>
      <c r="K1678">
        <f t="shared" si="1038"/>
        <v>1.7934782608695703</v>
      </c>
    </row>
    <row r="1679" spans="2:11" x14ac:dyDescent="0.25">
      <c r="B1679" t="str">
        <f t="shared" si="1027"/>
        <v>SPS3</v>
      </c>
      <c r="C1679" t="str">
        <f t="shared" si="1018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39">IFERROR(G1668/G1652,"-")</f>
        <v>0.90641226905248051</v>
      </c>
      <c r="H1679" s="4">
        <f t="shared" si="1039"/>
        <v>0.90641226905247896</v>
      </c>
      <c r="I1679" s="4">
        <f t="shared" si="1039"/>
        <v>0.90641226905247951</v>
      </c>
      <c r="J1679" s="4">
        <f t="shared" si="1039"/>
        <v>0.90641226905247718</v>
      </c>
      <c r="K1679" s="4" t="str">
        <f t="shared" si="1039"/>
        <v>-</v>
      </c>
    </row>
    <row r="1680" spans="2:11" x14ac:dyDescent="0.25">
      <c r="B1680" t="str">
        <f t="shared" si="1027"/>
        <v>SPS3</v>
      </c>
      <c r="C1680" t="str">
        <f t="shared" si="1018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40">IFERROR(G1669/G1658,"-")</f>
        <v>-</v>
      </c>
      <c r="H1680" t="str">
        <f t="shared" si="1040"/>
        <v>-</v>
      </c>
      <c r="I1680" t="str">
        <f t="shared" si="1040"/>
        <v>-</v>
      </c>
      <c r="J1680" t="str">
        <f t="shared" si="1040"/>
        <v>-</v>
      </c>
      <c r="K1680" t="str">
        <f t="shared" si="1040"/>
        <v>-</v>
      </c>
    </row>
    <row r="1681" spans="2:11" x14ac:dyDescent="0.25">
      <c r="B1681" t="str">
        <f t="shared" si="1027"/>
        <v>SPS3</v>
      </c>
      <c r="C1681" t="str">
        <f t="shared" si="1018"/>
        <v>CH</v>
      </c>
      <c r="D1681" t="s">
        <v>1695</v>
      </c>
      <c r="E1681" t="s">
        <v>1230</v>
      </c>
      <c r="F1681" s="1">
        <f>IFERROR(F1670/F1659,"-")</f>
        <v>4.053073886785513E-3</v>
      </c>
      <c r="G1681" s="1">
        <f t="shared" si="1040"/>
        <v>4.0530738867855156E-3</v>
      </c>
      <c r="H1681">
        <f t="shared" si="1040"/>
        <v>4.0530738867855095E-3</v>
      </c>
      <c r="I1681">
        <f t="shared" si="1040"/>
        <v>4.0530738867855095E-3</v>
      </c>
      <c r="J1681">
        <f t="shared" si="1040"/>
        <v>4.0530738867855087E-3</v>
      </c>
      <c r="K1681" t="str">
        <f t="shared" si="1040"/>
        <v>-</v>
      </c>
    </row>
    <row r="1682" spans="2:11" x14ac:dyDescent="0.25">
      <c r="B1682" t="str">
        <f t="shared" si="1027"/>
        <v>SPS3</v>
      </c>
      <c r="C1682" t="str">
        <f t="shared" si="1018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40"/>
        <v>0.988269780151248</v>
      </c>
      <c r="H1682" s="4">
        <f t="shared" si="1040"/>
        <v>0.98826978015124411</v>
      </c>
      <c r="I1682" s="4">
        <f t="shared" si="1040"/>
        <v>0.98826978015124411</v>
      </c>
      <c r="J1682" s="4">
        <f t="shared" si="1040"/>
        <v>0.98826978015124978</v>
      </c>
      <c r="K1682" s="4">
        <f t="shared" si="1040"/>
        <v>0.98826978015124867</v>
      </c>
    </row>
    <row r="1683" spans="2:11" x14ac:dyDescent="0.25">
      <c r="B1683" s="2" t="str">
        <f t="shared" si="1027"/>
        <v>SPS3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34.580905019839349</v>
      </c>
      <c r="G1683" s="3">
        <f t="shared" ref="G1683:K1683" si="1041">SUM(G1684:G1686,G1689:G1691,-G1696)</f>
        <v>32.634474054138629</v>
      </c>
      <c r="H1683" s="3">
        <f t="shared" si="1041"/>
        <v>29.458443576977796</v>
      </c>
      <c r="I1683" s="3">
        <f t="shared" si="1041"/>
        <v>19.867228297816318</v>
      </c>
      <c r="J1683" s="3">
        <f t="shared" si="1041"/>
        <v>11.652759986910739</v>
      </c>
      <c r="K1683" s="3">
        <f t="shared" si="1041"/>
        <v>-1.4996788100847162E-6</v>
      </c>
    </row>
    <row r="1684" spans="2:11" x14ac:dyDescent="0.25">
      <c r="B1684" t="str">
        <f t="shared" si="1027"/>
        <v>SPS3</v>
      </c>
      <c r="C1684" t="str">
        <f t="shared" ref="C1684" si="1042">C1683</f>
        <v>CH</v>
      </c>
      <c r="D1684" t="s">
        <v>1703</v>
      </c>
      <c r="E1684" t="str">
        <f>E1683</f>
        <v>Mt/yr.</v>
      </c>
      <c r="F1684" s="1">
        <f>[1]Summary!B53+[1]Summary!B59</f>
        <v>2.5752280975253332</v>
      </c>
      <c r="G1684" s="1">
        <f>[1]Summary!C53+[1]Summary!C59</f>
        <v>2.6070642997321465</v>
      </c>
      <c r="H1684" s="1">
        <f>[1]Summary!D53+[1]Summary!D59</f>
        <v>2.6227372342496054</v>
      </c>
      <c r="I1684" s="1">
        <f>[1]Summary!E53+[1]Summary!E59</f>
        <v>2.6490702298499968</v>
      </c>
      <c r="J1684" s="1">
        <f>[1]Summary!F53+[1]Summary!F59</f>
        <v>2.3829336117345332</v>
      </c>
      <c r="K1684" s="1">
        <f>[1]Summary!G53+[1]Summary!G59</f>
        <v>-0.70153314823057666</v>
      </c>
    </row>
    <row r="1685" spans="2:11" x14ac:dyDescent="0.25">
      <c r="B1685" t="str">
        <f t="shared" si="1027"/>
        <v>SPS3</v>
      </c>
      <c r="C1685" t="str">
        <f t="shared" ref="C1685:C1696" si="1043">C1684</f>
        <v>CH</v>
      </c>
      <c r="D1685" t="s">
        <v>1704</v>
      </c>
      <c r="E1685" t="str">
        <f t="shared" ref="E1685:E1696" si="1044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-1.0262586291314133</v>
      </c>
    </row>
    <row r="1686" spans="2:11" x14ac:dyDescent="0.25">
      <c r="B1686" t="str">
        <f t="shared" si="1027"/>
        <v>SPS3</v>
      </c>
      <c r="C1686" t="str">
        <f t="shared" si="1043"/>
        <v>CH</v>
      </c>
      <c r="D1686" t="s">
        <v>1705</v>
      </c>
      <c r="E1686" t="str">
        <f t="shared" si="1044"/>
        <v>Mt/yr.</v>
      </c>
      <c r="F1686" s="1">
        <f>[1]Summary!B55+[1]Summary!B60</f>
        <v>6.4923395581883536</v>
      </c>
      <c r="G1686" s="1">
        <f>[1]Summary!C55+[1]Summary!C60</f>
        <v>5.971108594232577</v>
      </c>
      <c r="H1686" s="1">
        <f>[1]Summary!D55+[1]Summary!D60</f>
        <v>5.4139548922935044</v>
      </c>
      <c r="I1686" s="1">
        <f>[1]Summary!E55+[1]Summary!E60</f>
        <v>4.5601647274591377</v>
      </c>
      <c r="J1686" s="1">
        <f>[1]Summary!F55+[1]Summary!F60</f>
        <v>3.1560703141488862</v>
      </c>
      <c r="K1686" s="1">
        <f>[1]Summary!G55+[1]Summary!G60</f>
        <v>0.84028003429631015</v>
      </c>
    </row>
    <row r="1687" spans="2:11" x14ac:dyDescent="0.25">
      <c r="B1687" t="str">
        <f t="shared" si="1027"/>
        <v>SPS3</v>
      </c>
      <c r="C1687" t="str">
        <f t="shared" si="1043"/>
        <v>CH</v>
      </c>
      <c r="D1687" t="s">
        <v>1715</v>
      </c>
      <c r="E1687" t="str">
        <f t="shared" si="1044"/>
        <v>Mt/yr.</v>
      </c>
      <c r="F1687" s="1">
        <f>F1686-F1688</f>
        <v>4.4029927577037142</v>
      </c>
      <c r="G1687" s="1">
        <f t="shared" ref="G1687:K1687" si="1045">G1686-G1688</f>
        <v>3.8600954243584966</v>
      </c>
      <c r="H1687" s="1">
        <f t="shared" si="1045"/>
        <v>3.3116854212322444</v>
      </c>
      <c r="I1687" s="1">
        <f t="shared" si="1045"/>
        <v>2.466507475908748</v>
      </c>
      <c r="J1687" s="1">
        <f t="shared" si="1045"/>
        <v>1.0786933796010638</v>
      </c>
      <c r="K1687" s="1">
        <f t="shared" si="1045"/>
        <v>-0.19338679708400996</v>
      </c>
    </row>
    <row r="1688" spans="2:11" x14ac:dyDescent="0.25">
      <c r="B1688" t="str">
        <f t="shared" si="1027"/>
        <v>SPS3</v>
      </c>
      <c r="C1688" t="str">
        <f t="shared" si="1043"/>
        <v>CH</v>
      </c>
      <c r="D1688" t="s">
        <v>1714</v>
      </c>
      <c r="E1688" t="str">
        <f t="shared" si="1044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2.0936572515503897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2.0773769345478224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1.0336668313803201</v>
      </c>
    </row>
    <row r="1689" spans="2:11" x14ac:dyDescent="0.25">
      <c r="B1689" t="str">
        <f t="shared" si="1027"/>
        <v>SPS3</v>
      </c>
      <c r="C1689" t="str">
        <f t="shared" si="1043"/>
        <v>CH</v>
      </c>
      <c r="D1689" t="s">
        <v>1706</v>
      </c>
      <c r="E1689" t="str">
        <f t="shared" si="1044"/>
        <v>Mt/yr.</v>
      </c>
      <c r="F1689" s="1">
        <f>[1]Summary!B56</f>
        <v>3.7904626583133205</v>
      </c>
      <c r="G1689" s="1">
        <f>[1]Summary!C56</f>
        <v>3.4233028061555397</v>
      </c>
      <c r="H1689" s="1">
        <f>[1]Summary!D56</f>
        <v>3.0468145560607098</v>
      </c>
      <c r="I1689" s="1">
        <f>[1]Summary!E56</f>
        <v>1.688959704133147</v>
      </c>
      <c r="J1689" s="1">
        <f>[1]Summary!F56</f>
        <v>0.47467164884742602</v>
      </c>
      <c r="K1689" s="1">
        <f>[1]Summary!G56</f>
        <v>0.18808943910412743</v>
      </c>
    </row>
    <row r="1690" spans="2:11" x14ac:dyDescent="0.25">
      <c r="B1690" t="str">
        <f t="shared" si="1027"/>
        <v>SPS3</v>
      </c>
      <c r="C1690" t="str">
        <f t="shared" si="1043"/>
        <v>CH</v>
      </c>
      <c r="D1690" t="s">
        <v>1707</v>
      </c>
      <c r="E1690" t="str">
        <f t="shared" si="1044"/>
        <v>Mt/yr.</v>
      </c>
      <c r="F1690" s="1">
        <f>[1]Summary!B57</f>
        <v>7.1762292492724988</v>
      </c>
      <c r="G1690" s="1">
        <f>[1]Summary!C57</f>
        <v>6.4843358466269461</v>
      </c>
      <c r="H1690" s="1">
        <f>[1]Summary!D57</f>
        <v>6.0244203612148191</v>
      </c>
      <c r="I1690" s="1">
        <f>[1]Summary!E57</f>
        <v>3.1630585875467601</v>
      </c>
      <c r="J1690" s="1">
        <f>[1]Summary!F57</f>
        <v>1.1357454309553279</v>
      </c>
      <c r="K1690" s="1">
        <f>[1]Summary!G57</f>
        <v>0.57298765727490286</v>
      </c>
    </row>
    <row r="1691" spans="2:11" x14ac:dyDescent="0.25">
      <c r="B1691" t="str">
        <f t="shared" si="1027"/>
        <v>SPS3</v>
      </c>
      <c r="C1691" t="str">
        <f t="shared" si="1043"/>
        <v>CH</v>
      </c>
      <c r="D1691" t="s">
        <v>1708</v>
      </c>
      <c r="E1691" t="str">
        <f t="shared" si="1044"/>
        <v>Mt/yr.</v>
      </c>
      <c r="F1691" s="1">
        <f>[1]Summary!B58</f>
        <v>14.546645456539846</v>
      </c>
      <c r="G1691" s="1">
        <f>[1]Summary!C58</f>
        <v>14.148662507391421</v>
      </c>
      <c r="H1691" s="1">
        <f>[1]Summary!D58</f>
        <v>12.350516533159158</v>
      </c>
      <c r="I1691" s="1">
        <f>[1]Summary!E58</f>
        <v>7.8059750488272748</v>
      </c>
      <c r="J1691" s="1">
        <f>[1]Summary!F58</f>
        <v>4.5033417711914536</v>
      </c>
      <c r="K1691" s="1">
        <f>[1]Summary!G58</f>
        <v>0.12644759782579348</v>
      </c>
    </row>
    <row r="1692" spans="2:11" x14ac:dyDescent="0.25">
      <c r="B1692" t="str">
        <f t="shared" si="1027"/>
        <v>SPS3</v>
      </c>
      <c r="C1692" t="str">
        <f t="shared" si="1043"/>
        <v>CH</v>
      </c>
      <c r="D1692" t="s">
        <v>1709</v>
      </c>
      <c r="E1692" t="str">
        <f t="shared" si="1044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2.3554752610559361E-3</v>
      </c>
      <c r="K1692" s="1">
        <f>-[1]Summary!G59</f>
        <v>3.1106478435073956</v>
      </c>
    </row>
    <row r="1693" spans="2:11" x14ac:dyDescent="0.25">
      <c r="B1693" t="str">
        <f t="shared" si="1027"/>
        <v>SPS3</v>
      </c>
      <c r="C1693" t="str">
        <f t="shared" si="1043"/>
        <v>CH</v>
      </c>
      <c r="D1693" t="s">
        <v>1710</v>
      </c>
      <c r="E1693" t="str">
        <f t="shared" si="1044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0.26291403127503116</v>
      </c>
      <c r="K1693" s="1">
        <f>-[1]Summary!G60</f>
        <v>2.6095061039070688</v>
      </c>
    </row>
    <row r="1694" spans="2:11" x14ac:dyDescent="0.25">
      <c r="B1694" t="str">
        <f t="shared" si="1027"/>
        <v>SPS3</v>
      </c>
      <c r="C1694" t="str">
        <f t="shared" si="1043"/>
        <v>CH</v>
      </c>
      <c r="D1694" t="s">
        <v>1711</v>
      </c>
      <c r="E1694" t="str">
        <f t="shared" si="1044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1.0261319334674777</v>
      </c>
    </row>
    <row r="1695" spans="2:11" x14ac:dyDescent="0.25">
      <c r="B1695" t="str">
        <f t="shared" si="1027"/>
        <v>SPS3</v>
      </c>
      <c r="C1695" t="str">
        <f t="shared" si="1043"/>
        <v>CH</v>
      </c>
      <c r="D1695" t="s">
        <v>1712</v>
      </c>
      <c r="E1695" t="str">
        <f t="shared" si="1044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4.9801030103071423E-5</v>
      </c>
      <c r="K1695" s="1">
        <f>-[1]Summary!G62</f>
        <v>1.2669566393564704E-4</v>
      </c>
    </row>
    <row r="1696" spans="2:11" x14ac:dyDescent="0.25">
      <c r="B1696" t="str">
        <f t="shared" si="1027"/>
        <v>SPS3</v>
      </c>
      <c r="C1696" t="str">
        <f t="shared" si="1043"/>
        <v>CH</v>
      </c>
      <c r="D1696" t="s">
        <v>1713</v>
      </c>
      <c r="E1696" t="str">
        <f t="shared" si="1044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2.789966887556882E-6</v>
      </c>
      <c r="K1696" s="1">
        <f>-[1]Summary!G63</f>
        <v>1.4450817954069874E-5</v>
      </c>
    </row>
    <row r="1697" spans="2:11" x14ac:dyDescent="0.25">
      <c r="B1697" s="2" t="str">
        <f t="shared" si="1027"/>
        <v>SPS3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046">SUM(G1698:G1700)</f>
        <v>0</v>
      </c>
      <c r="H1697" s="3">
        <f t="shared" si="1046"/>
        <v>0</v>
      </c>
      <c r="I1697" s="3">
        <f t="shared" si="1046"/>
        <v>0</v>
      </c>
      <c r="J1697" s="3">
        <f t="shared" si="1046"/>
        <v>0.26528326542682579</v>
      </c>
      <c r="K1697" s="3">
        <f t="shared" si="1046"/>
        <v>6.7464018431461525</v>
      </c>
    </row>
    <row r="1698" spans="2:11" x14ac:dyDescent="0.25">
      <c r="B1698" t="str">
        <f t="shared" si="1027"/>
        <v>SPS3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 x14ac:dyDescent="0.25">
      <c r="B1699" t="str">
        <f t="shared" si="1027"/>
        <v>SPS3</v>
      </c>
      <c r="C1699" t="str">
        <f t="shared" ref="C1699:C1700" si="1047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0.26528326542682579</v>
      </c>
      <c r="K1699" s="1">
        <f>[1]Summary!C$78</f>
        <v>0.1252394443340516</v>
      </c>
    </row>
    <row r="1700" spans="2:11" x14ac:dyDescent="0.25">
      <c r="B1700" t="str">
        <f t="shared" si="1027"/>
        <v>SPS3</v>
      </c>
      <c r="C1700" t="str">
        <f t="shared" si="1047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6.6211623988121007</v>
      </c>
    </row>
    <row r="1701" spans="2:11" x14ac:dyDescent="0.25">
      <c r="B1701" s="2" t="str">
        <f t="shared" si="1027"/>
        <v>SPS3</v>
      </c>
      <c r="C1701" s="2" t="str">
        <f t="shared" ref="B1701:C1706" si="1048">C1700</f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027"/>
        <v>SPS3</v>
      </c>
      <c r="C1702" t="str">
        <f t="shared" si="1048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049">SUM(G1703:G1704)</f>
        <v>0</v>
      </c>
      <c r="H1702" s="1">
        <f t="shared" si="1049"/>
        <v>0</v>
      </c>
      <c r="I1702" s="1">
        <f t="shared" si="1049"/>
        <v>0</v>
      </c>
      <c r="J1702" s="1">
        <f t="shared" si="1049"/>
        <v>2.2419747028227614E-5</v>
      </c>
      <c r="K1702" s="1">
        <f t="shared" si="1049"/>
        <v>1.0525644139627514E-4</v>
      </c>
    </row>
    <row r="1703" spans="2:11" x14ac:dyDescent="0.25">
      <c r="B1703" t="str">
        <f t="shared" si="1027"/>
        <v>SPS3</v>
      </c>
      <c r="C1703" t="str">
        <f t="shared" si="1048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3.86875408407888E-6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1.3150244338203571E-5</v>
      </c>
    </row>
    <row r="1704" spans="2:11" x14ac:dyDescent="0.25">
      <c r="B1704" t="str">
        <f t="shared" si="1027"/>
        <v>SPS3</v>
      </c>
      <c r="C1704" t="str">
        <f t="shared" si="1048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1.8550992944148734E-5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9.2106197058071577E-5</v>
      </c>
    </row>
    <row r="1705" spans="2:11" x14ac:dyDescent="0.25">
      <c r="B1705" t="str">
        <f t="shared" si="1027"/>
        <v>SPS3</v>
      </c>
      <c r="C1705" t="str">
        <f t="shared" si="1048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050">G1696</f>
        <v>0</v>
      </c>
      <c r="H1705" s="1">
        <f t="shared" si="1050"/>
        <v>0</v>
      </c>
      <c r="I1705" s="1">
        <f t="shared" si="1050"/>
        <v>0</v>
      </c>
      <c r="J1705" s="1">
        <f t="shared" si="1050"/>
        <v>2.789966887556882E-6</v>
      </c>
      <c r="K1705" s="1">
        <f t="shared" si="1050"/>
        <v>1.4450817954069874E-5</v>
      </c>
    </row>
    <row r="1706" spans="2:11" x14ac:dyDescent="0.25">
      <c r="B1706" s="2" t="str">
        <f t="shared" si="1027"/>
        <v>SPS3</v>
      </c>
      <c r="C1706" s="2" t="str">
        <f t="shared" si="1048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961.9313309917934</v>
      </c>
      <c r="G1706" s="3">
        <f t="shared" ref="G1706:K1706" si="1051">SUM(G1707:G1708,G1725,G1734:G1735,G1736,G1737,G1742,G1745,,G1750:G1753,G1746)</f>
        <v>960.00787169163311</v>
      </c>
      <c r="H1706" s="3">
        <f t="shared" si="1051"/>
        <v>957.69874923304656</v>
      </c>
      <c r="I1706" s="3">
        <f t="shared" si="1051"/>
        <v>882.97872484541244</v>
      </c>
      <c r="J1706" s="3">
        <f t="shared" si="1051"/>
        <v>689.50144878869662</v>
      </c>
      <c r="K1706" s="3">
        <f t="shared" si="1051"/>
        <v>557.18250429182092</v>
      </c>
    </row>
    <row r="1707" spans="2:11" x14ac:dyDescent="0.25">
      <c r="B1707" t="str">
        <f t="shared" si="1027"/>
        <v>SPS3</v>
      </c>
      <c r="C1707" t="str">
        <f t="shared" ref="C1707" si="1052">C1706</f>
        <v>CH</v>
      </c>
      <c r="D1707" t="s">
        <v>1739</v>
      </c>
      <c r="E1707" t="str">
        <f>E1706</f>
        <v>PJ/yr.</v>
      </c>
      <c r="F1707" s="1">
        <f>F21</f>
        <v>3.6600051305331891</v>
      </c>
      <c r="G1707" s="1">
        <f t="shared" ref="G1707:K1707" si="1053">G21</f>
        <v>3.564717123139777</v>
      </c>
      <c r="H1707" s="1">
        <f t="shared" si="1053"/>
        <v>2.8003703867176676E-2</v>
      </c>
      <c r="I1707" s="1">
        <f t="shared" si="1053"/>
        <v>2.9402337953044606</v>
      </c>
      <c r="J1707" s="1">
        <f t="shared" si="1053"/>
        <v>2.8655744040051055E-4</v>
      </c>
      <c r="K1707" s="1">
        <f t="shared" si="1053"/>
        <v>2.1589792879176303E-4</v>
      </c>
    </row>
    <row r="1708" spans="2:11" x14ac:dyDescent="0.25">
      <c r="B1708" t="str">
        <f t="shared" si="1027"/>
        <v>SPS3</v>
      </c>
      <c r="C1708" t="str">
        <f t="shared" ref="C1708:C1760" si="1054">C1707</f>
        <v>CH</v>
      </c>
      <c r="D1708" t="s">
        <v>1740</v>
      </c>
      <c r="E1708" t="str">
        <f t="shared" ref="E1708:E1736" si="1055">E1707</f>
        <v>PJ/yr.</v>
      </c>
      <c r="F1708" s="1">
        <f t="shared" ref="F1708:K1734" si="1056">F22</f>
        <v>310.89247157791431</v>
      </c>
      <c r="G1708" s="1">
        <f t="shared" si="1056"/>
        <v>290.70428718262747</v>
      </c>
      <c r="H1708" s="1">
        <f t="shared" si="1056"/>
        <v>255.23703031622904</v>
      </c>
      <c r="I1708" s="1">
        <f t="shared" si="1056"/>
        <v>154.00493896509826</v>
      </c>
      <c r="J1708" s="1">
        <f t="shared" si="1056"/>
        <v>79.78787743380137</v>
      </c>
      <c r="K1708" s="1">
        <f t="shared" si="1056"/>
        <v>35.397558523123038</v>
      </c>
    </row>
    <row r="1709" spans="2:11" x14ac:dyDescent="0.25">
      <c r="B1709" t="str">
        <f t="shared" si="1027"/>
        <v>SPS3</v>
      </c>
      <c r="C1709" t="str">
        <f t="shared" si="1054"/>
        <v>CH</v>
      </c>
      <c r="D1709" t="s">
        <v>1741</v>
      </c>
      <c r="E1709" t="str">
        <f t="shared" si="1055"/>
        <v>PJ/yr.</v>
      </c>
      <c r="F1709" s="1">
        <f t="shared" si="1056"/>
        <v>303.83323837629689</v>
      </c>
      <c r="G1709" s="1">
        <f t="shared" si="1056"/>
        <v>283.33604801729609</v>
      </c>
      <c r="H1709" s="1">
        <f t="shared" si="1056"/>
        <v>249.0193612817832</v>
      </c>
      <c r="I1709" s="1">
        <f t="shared" si="1056"/>
        <v>146.94957236979539</v>
      </c>
      <c r="J1709" s="1">
        <f t="shared" si="1056"/>
        <v>66.090007801643395</v>
      </c>
      <c r="K1709" s="1">
        <f t="shared" si="1056"/>
        <v>0</v>
      </c>
    </row>
    <row r="1710" spans="2:11" x14ac:dyDescent="0.25">
      <c r="B1710" t="str">
        <f t="shared" si="1027"/>
        <v>SPS3</v>
      </c>
      <c r="C1710" t="str">
        <f t="shared" si="1054"/>
        <v>CH</v>
      </c>
      <c r="D1710" t="s">
        <v>1742</v>
      </c>
      <c r="E1710" t="str">
        <f t="shared" si="1055"/>
        <v>PJ/yr.</v>
      </c>
      <c r="F1710" s="1">
        <f t="shared" si="1056"/>
        <v>101.74882372142358</v>
      </c>
      <c r="G1710" s="1">
        <f t="shared" si="1056"/>
        <v>90.977412950447899</v>
      </c>
      <c r="H1710" s="1">
        <f t="shared" si="1056"/>
        <v>81.188142391544474</v>
      </c>
      <c r="I1710" s="1">
        <f t="shared" si="1056"/>
        <v>40.790094701003873</v>
      </c>
      <c r="J1710" s="1">
        <f t="shared" si="1056"/>
        <v>8.3830738261320779</v>
      </c>
      <c r="K1710" s="1">
        <f t="shared" si="1056"/>
        <v>0</v>
      </c>
    </row>
    <row r="1711" spans="2:11" x14ac:dyDescent="0.25">
      <c r="B1711" t="str">
        <f t="shared" si="1027"/>
        <v>SPS3</v>
      </c>
      <c r="C1711" t="str">
        <f t="shared" si="1054"/>
        <v>CH</v>
      </c>
      <c r="D1711" t="s">
        <v>1743</v>
      </c>
      <c r="E1711" t="str">
        <f t="shared" si="1055"/>
        <v>PJ/yr.</v>
      </c>
      <c r="F1711" s="1">
        <f t="shared" si="1056"/>
        <v>2.7763707016448524</v>
      </c>
      <c r="G1711" s="1">
        <f t="shared" si="1056"/>
        <v>1.081085768202379E-3</v>
      </c>
      <c r="H1711" s="1">
        <f t="shared" si="1056"/>
        <v>1.4178272934745203E-3</v>
      </c>
      <c r="I1711" s="1">
        <f t="shared" si="1056"/>
        <v>2.3911578706083091E-3</v>
      </c>
      <c r="J1711" s="1">
        <f t="shared" si="1056"/>
        <v>3.5988342891911493E-4</v>
      </c>
      <c r="K1711" s="1">
        <f t="shared" si="1056"/>
        <v>0</v>
      </c>
    </row>
    <row r="1712" spans="2:11" x14ac:dyDescent="0.25">
      <c r="B1712" t="str">
        <f t="shared" si="1027"/>
        <v>SPS3</v>
      </c>
      <c r="C1712" t="str">
        <f t="shared" si="1054"/>
        <v>CH</v>
      </c>
      <c r="D1712" t="s">
        <v>1744</v>
      </c>
      <c r="E1712" t="str">
        <f t="shared" si="1055"/>
        <v>PJ/yr.</v>
      </c>
      <c r="F1712" s="1">
        <f t="shared" si="1056"/>
        <v>118.18558363065856</v>
      </c>
      <c r="G1712" s="1">
        <f t="shared" si="1056"/>
        <v>110.97902211607882</v>
      </c>
      <c r="H1712" s="1">
        <f t="shared" si="1056"/>
        <v>90.512536075592266</v>
      </c>
      <c r="I1712" s="1">
        <f t="shared" si="1056"/>
        <v>55.297438038122571</v>
      </c>
      <c r="J1712" s="1">
        <f t="shared" si="1056"/>
        <v>40.885319735837093</v>
      </c>
      <c r="K1712" s="1">
        <f t="shared" si="1056"/>
        <v>0</v>
      </c>
    </row>
    <row r="1713" spans="2:11" x14ac:dyDescent="0.25">
      <c r="B1713" t="str">
        <f t="shared" si="1027"/>
        <v>SPS3</v>
      </c>
      <c r="C1713" t="str">
        <f t="shared" si="1054"/>
        <v>CH</v>
      </c>
      <c r="D1713" t="s">
        <v>1745</v>
      </c>
      <c r="E1713" t="str">
        <f t="shared" si="1055"/>
        <v>PJ/yr.</v>
      </c>
      <c r="F1713" s="1">
        <f t="shared" si="1056"/>
        <v>80.013074956190735</v>
      </c>
      <c r="G1713" s="1">
        <f t="shared" si="1056"/>
        <v>79.973316981447425</v>
      </c>
      <c r="H1713" s="1">
        <f t="shared" si="1056"/>
        <v>75.468305828037288</v>
      </c>
      <c r="I1713" s="1">
        <f t="shared" si="1056"/>
        <v>48.866921378535025</v>
      </c>
      <c r="J1713" s="1">
        <f t="shared" si="1056"/>
        <v>15.470620777683402</v>
      </c>
      <c r="K1713" s="1">
        <f t="shared" si="1056"/>
        <v>0</v>
      </c>
    </row>
    <row r="1714" spans="2:11" x14ac:dyDescent="0.25">
      <c r="B1714" t="str">
        <f t="shared" si="1027"/>
        <v>SPS3</v>
      </c>
      <c r="C1714" t="str">
        <f t="shared" si="1054"/>
        <v>CH</v>
      </c>
      <c r="D1714" t="s">
        <v>1746</v>
      </c>
      <c r="E1714" t="str">
        <f t="shared" si="1055"/>
        <v>PJ/yr.</v>
      </c>
      <c r="F1714" s="1">
        <f t="shared" si="1056"/>
        <v>1.1093853663791744</v>
      </c>
      <c r="G1714" s="1">
        <f t="shared" si="1056"/>
        <v>1.4052148835537817</v>
      </c>
      <c r="H1714" s="1">
        <f t="shared" si="1056"/>
        <v>1.8489591593156731</v>
      </c>
      <c r="I1714" s="1">
        <f t="shared" si="1056"/>
        <v>1.9927270942632898</v>
      </c>
      <c r="J1714" s="1">
        <f t="shared" si="1056"/>
        <v>1.3506335785619019</v>
      </c>
      <c r="K1714" s="1">
        <f t="shared" si="1056"/>
        <v>0</v>
      </c>
    </row>
    <row r="1715" spans="2:11" x14ac:dyDescent="0.25">
      <c r="B1715" t="str">
        <f t="shared" si="1027"/>
        <v>SPS3</v>
      </c>
      <c r="C1715" t="str">
        <f t="shared" si="1054"/>
        <v>CH</v>
      </c>
      <c r="D1715" t="s">
        <v>1747</v>
      </c>
      <c r="E1715" t="str">
        <f t="shared" si="1055"/>
        <v>PJ/yr.</v>
      </c>
      <c r="F1715" s="1">
        <f t="shared" si="1056"/>
        <v>7.0592332016174133</v>
      </c>
      <c r="G1715" s="1">
        <f t="shared" si="1056"/>
        <v>7.3682391653313584</v>
      </c>
      <c r="H1715" s="1">
        <f t="shared" si="1056"/>
        <v>6.217669034445839</v>
      </c>
      <c r="I1715" s="1">
        <f t="shared" si="1056"/>
        <v>7.0553665953028792</v>
      </c>
      <c r="J1715" s="1">
        <f t="shared" si="1056"/>
        <v>13.697869632157975</v>
      </c>
      <c r="K1715" s="1">
        <f t="shared" si="1056"/>
        <v>35.397558523123038</v>
      </c>
    </row>
    <row r="1716" spans="2:11" x14ac:dyDescent="0.25">
      <c r="B1716" t="str">
        <f t="shared" ref="B1716:B1779" si="1057">B1715</f>
        <v>SPS3</v>
      </c>
      <c r="C1716" t="str">
        <f t="shared" si="1054"/>
        <v>CH</v>
      </c>
      <c r="D1716" t="s">
        <v>1748</v>
      </c>
      <c r="E1716" t="str">
        <f t="shared" si="1055"/>
        <v>PJ/yr.</v>
      </c>
      <c r="F1716" s="1">
        <f t="shared" si="1056"/>
        <v>2.6250959484475453</v>
      </c>
      <c r="G1716" s="1">
        <f t="shared" si="1056"/>
        <v>2.7371352315350546</v>
      </c>
      <c r="H1716" s="1">
        <f t="shared" si="1056"/>
        <v>3.0162113077627284</v>
      </c>
      <c r="I1716" s="1">
        <f t="shared" si="1056"/>
        <v>3.0163325451230847</v>
      </c>
      <c r="J1716" s="1">
        <f t="shared" si="1056"/>
        <v>5.1672793530427183</v>
      </c>
      <c r="K1716" s="1">
        <f t="shared" si="1056"/>
        <v>28.614090595816219</v>
      </c>
    </row>
    <row r="1717" spans="2:11" x14ac:dyDescent="0.25">
      <c r="B1717" t="str">
        <f t="shared" si="1057"/>
        <v>SPS3</v>
      </c>
      <c r="C1717" t="str">
        <f t="shared" si="1054"/>
        <v>CH</v>
      </c>
      <c r="D1717" t="s">
        <v>1749</v>
      </c>
      <c r="E1717" t="str">
        <f t="shared" si="1055"/>
        <v>PJ/yr.</v>
      </c>
      <c r="F1717" s="1">
        <f t="shared" si="1056"/>
        <v>4.434137253169868</v>
      </c>
      <c r="G1717" s="1">
        <f t="shared" si="1056"/>
        <v>4.6311039337963038</v>
      </c>
      <c r="H1717" s="1">
        <f t="shared" si="1056"/>
        <v>3.2014577266831106</v>
      </c>
      <c r="I1717" s="1">
        <f t="shared" si="1056"/>
        <v>4.0390340501797946</v>
      </c>
      <c r="J1717" s="1">
        <f t="shared" si="1056"/>
        <v>8.5305902791152572</v>
      </c>
      <c r="K1717" s="1">
        <f t="shared" si="1056"/>
        <v>6.7834679273068179</v>
      </c>
    </row>
    <row r="1718" spans="2:11" x14ac:dyDescent="0.25">
      <c r="B1718" t="str">
        <f t="shared" si="1057"/>
        <v>SPS3</v>
      </c>
      <c r="C1718" t="str">
        <f t="shared" si="1054"/>
        <v>CH</v>
      </c>
      <c r="D1718" t="s">
        <v>1750</v>
      </c>
      <c r="E1718" t="str">
        <f t="shared" si="1055"/>
        <v>PJ/yr.</v>
      </c>
      <c r="F1718" s="1">
        <f t="shared" si="1056"/>
        <v>7.0592332016174133</v>
      </c>
      <c r="G1718" s="1">
        <f t="shared" si="1056"/>
        <v>7.3682391653313584</v>
      </c>
      <c r="H1718" s="1">
        <f t="shared" si="1056"/>
        <v>6.217669034445839</v>
      </c>
      <c r="I1718" s="1">
        <f t="shared" si="1056"/>
        <v>7.0553665953028792</v>
      </c>
      <c r="J1718" s="1">
        <f t="shared" si="1056"/>
        <v>7.6474364789193885</v>
      </c>
      <c r="K1718" s="1">
        <f t="shared" si="1056"/>
        <v>11.950747280349535</v>
      </c>
    </row>
    <row r="1719" spans="2:11" x14ac:dyDescent="0.25">
      <c r="B1719" t="str">
        <f t="shared" si="1057"/>
        <v>SPS3</v>
      </c>
      <c r="C1719" t="str">
        <f t="shared" si="1054"/>
        <v>CH</v>
      </c>
      <c r="D1719" t="s">
        <v>1751</v>
      </c>
      <c r="E1719" t="str">
        <f t="shared" si="1055"/>
        <v>PJ/yr.</v>
      </c>
      <c r="F1719" s="1">
        <f t="shared" si="1056"/>
        <v>2.6250959484475453</v>
      </c>
      <c r="G1719" s="1">
        <f t="shared" si="1056"/>
        <v>2.7371352315350546</v>
      </c>
      <c r="H1719" s="1">
        <f t="shared" si="1056"/>
        <v>3.0162113077627284</v>
      </c>
      <c r="I1719" s="1">
        <f t="shared" si="1056"/>
        <v>3.0163325451230847</v>
      </c>
      <c r="J1719" s="1">
        <f t="shared" si="1056"/>
        <v>3.0163325451230847</v>
      </c>
      <c r="K1719" s="1">
        <f t="shared" si="1056"/>
        <v>5.1672793530427183</v>
      </c>
    </row>
    <row r="1720" spans="2:11" x14ac:dyDescent="0.25">
      <c r="B1720" t="str">
        <f t="shared" si="1057"/>
        <v>SPS3</v>
      </c>
      <c r="C1720" t="str">
        <f t="shared" si="1054"/>
        <v>CH</v>
      </c>
      <c r="D1720" t="s">
        <v>1752</v>
      </c>
      <c r="E1720" t="str">
        <f t="shared" si="1055"/>
        <v>PJ/yr.</v>
      </c>
      <c r="F1720" s="1">
        <f t="shared" si="1056"/>
        <v>4.434137253169868</v>
      </c>
      <c r="G1720" s="1">
        <f t="shared" si="1056"/>
        <v>4.6311039337963038</v>
      </c>
      <c r="H1720" s="1">
        <f t="shared" si="1056"/>
        <v>3.2014577266831106</v>
      </c>
      <c r="I1720" s="1">
        <f t="shared" si="1056"/>
        <v>4.0390340501797946</v>
      </c>
      <c r="J1720" s="1">
        <f t="shared" si="1056"/>
        <v>4.6311039337963038</v>
      </c>
      <c r="K1720" s="1">
        <f t="shared" si="1056"/>
        <v>6.7834679273068179</v>
      </c>
    </row>
    <row r="1721" spans="2:11" x14ac:dyDescent="0.25">
      <c r="B1721" t="str">
        <f t="shared" si="1057"/>
        <v>SPS3</v>
      </c>
      <c r="C1721" t="str">
        <f t="shared" si="1054"/>
        <v>CH</v>
      </c>
      <c r="D1721" t="s">
        <v>1753</v>
      </c>
      <c r="E1721" t="str">
        <f t="shared" si="1055"/>
        <v>PJ/yr.</v>
      </c>
      <c r="F1721" s="1">
        <f t="shared" si="1056"/>
        <v>0</v>
      </c>
      <c r="G1721" s="1">
        <f t="shared" si="1056"/>
        <v>0</v>
      </c>
      <c r="H1721" s="1">
        <f t="shared" si="1056"/>
        <v>0</v>
      </c>
      <c r="I1721" s="1">
        <f t="shared" si="1056"/>
        <v>0</v>
      </c>
      <c r="J1721" s="1">
        <f t="shared" si="1056"/>
        <v>6.0504331532385871</v>
      </c>
      <c r="K1721" s="1">
        <f t="shared" si="1056"/>
        <v>23.446811242773499</v>
      </c>
    </row>
    <row r="1722" spans="2:11" x14ac:dyDescent="0.25">
      <c r="B1722" t="str">
        <f t="shared" si="1057"/>
        <v>SPS3</v>
      </c>
      <c r="C1722" t="str">
        <f t="shared" si="1054"/>
        <v>CH</v>
      </c>
      <c r="D1722" t="s">
        <v>1754</v>
      </c>
      <c r="E1722" t="str">
        <f t="shared" si="1055"/>
        <v>PJ/yr.</v>
      </c>
      <c r="F1722" s="1">
        <f t="shared" si="1056"/>
        <v>0</v>
      </c>
      <c r="G1722" s="1">
        <f t="shared" si="1056"/>
        <v>0</v>
      </c>
      <c r="H1722" s="1">
        <f t="shared" si="1056"/>
        <v>0</v>
      </c>
      <c r="I1722" s="1">
        <f t="shared" si="1056"/>
        <v>0</v>
      </c>
      <c r="J1722" s="1">
        <f t="shared" si="1056"/>
        <v>2.1509468079196337</v>
      </c>
      <c r="K1722" s="1">
        <f t="shared" si="1056"/>
        <v>23.446811242773499</v>
      </c>
    </row>
    <row r="1723" spans="2:11" x14ac:dyDescent="0.25">
      <c r="B1723" t="str">
        <f t="shared" si="1057"/>
        <v>SPS3</v>
      </c>
      <c r="C1723" t="str">
        <f t="shared" si="1054"/>
        <v>CH</v>
      </c>
      <c r="D1723" t="s">
        <v>1755</v>
      </c>
      <c r="E1723" t="str">
        <f t="shared" si="1055"/>
        <v>PJ/yr.</v>
      </c>
      <c r="F1723" s="1">
        <f t="shared" si="1056"/>
        <v>0</v>
      </c>
      <c r="G1723" s="1">
        <f t="shared" si="1056"/>
        <v>0</v>
      </c>
      <c r="H1723" s="1">
        <f t="shared" si="1056"/>
        <v>0</v>
      </c>
      <c r="I1723" s="1">
        <f t="shared" si="1056"/>
        <v>0</v>
      </c>
      <c r="J1723" s="1">
        <f t="shared" si="1056"/>
        <v>3.8994863453189534</v>
      </c>
      <c r="K1723" s="1">
        <f t="shared" si="1056"/>
        <v>0</v>
      </c>
    </row>
    <row r="1724" spans="2:11" x14ac:dyDescent="0.25">
      <c r="B1724" t="str">
        <f t="shared" si="1057"/>
        <v>SPS3</v>
      </c>
      <c r="C1724" t="str">
        <f t="shared" si="1054"/>
        <v>CH</v>
      </c>
      <c r="D1724" t="s">
        <v>1756</v>
      </c>
      <c r="E1724" t="str">
        <f t="shared" si="1055"/>
        <v>PJ/yr.</v>
      </c>
      <c r="F1724" s="1">
        <f t="shared" si="1056"/>
        <v>0</v>
      </c>
      <c r="G1724" s="1">
        <f t="shared" si="1056"/>
        <v>0</v>
      </c>
      <c r="H1724" s="1">
        <f t="shared" si="1056"/>
        <v>0</v>
      </c>
      <c r="I1724" s="1">
        <f t="shared" si="1056"/>
        <v>0</v>
      </c>
      <c r="J1724" s="1">
        <f t="shared" si="1056"/>
        <v>0</v>
      </c>
      <c r="K1724" s="1">
        <f t="shared" si="1056"/>
        <v>0</v>
      </c>
    </row>
    <row r="1725" spans="2:11" x14ac:dyDescent="0.25">
      <c r="B1725" t="str">
        <f t="shared" si="1057"/>
        <v>SPS3</v>
      </c>
      <c r="C1725" t="str">
        <f t="shared" si="1054"/>
        <v>CH</v>
      </c>
      <c r="D1725" t="s">
        <v>1757</v>
      </c>
      <c r="E1725" t="str">
        <f t="shared" si="1055"/>
        <v>PJ/yr.</v>
      </c>
      <c r="F1725" s="1">
        <f t="shared" si="1056"/>
        <v>117.09567308576945</v>
      </c>
      <c r="G1725" s="1">
        <f t="shared" si="1056"/>
        <v>106.97859503127495</v>
      </c>
      <c r="H1725" s="1">
        <f t="shared" si="1056"/>
        <v>102.57792359644914</v>
      </c>
      <c r="I1725" s="1">
        <f t="shared" si="1056"/>
        <v>59.899487115636774</v>
      </c>
      <c r="J1725" s="1">
        <f t="shared" si="1056"/>
        <v>28.512188293599049</v>
      </c>
      <c r="K1725" s="1">
        <f t="shared" si="1056"/>
        <v>24.366079793028383</v>
      </c>
    </row>
    <row r="1726" spans="2:11" x14ac:dyDescent="0.25">
      <c r="B1726" t="str">
        <f t="shared" si="1057"/>
        <v>SPS3</v>
      </c>
      <c r="C1726" t="str">
        <f t="shared" si="1054"/>
        <v>CH</v>
      </c>
      <c r="D1726" t="s">
        <v>1758</v>
      </c>
      <c r="E1726" t="str">
        <f t="shared" si="1055"/>
        <v>PJ/yr.</v>
      </c>
      <c r="F1726" s="1">
        <f t="shared" si="1056"/>
        <v>117.09567308576945</v>
      </c>
      <c r="G1726" s="1">
        <f t="shared" si="1056"/>
        <v>106.71999963060976</v>
      </c>
      <c r="H1726" s="1">
        <f t="shared" si="1056"/>
        <v>101.73567034087385</v>
      </c>
      <c r="I1726" s="1">
        <f t="shared" si="1056"/>
        <v>59.895082284486776</v>
      </c>
      <c r="J1726" s="1">
        <f t="shared" si="1056"/>
        <v>25.855212437463301</v>
      </c>
      <c r="K1726" s="1">
        <f t="shared" si="1056"/>
        <v>22.230900480385369</v>
      </c>
    </row>
    <row r="1727" spans="2:11" x14ac:dyDescent="0.25">
      <c r="B1727" t="str">
        <f t="shared" si="1057"/>
        <v>SPS3</v>
      </c>
      <c r="C1727" t="str">
        <f t="shared" si="1054"/>
        <v>CH</v>
      </c>
      <c r="D1727" t="s">
        <v>1759</v>
      </c>
      <c r="E1727" t="str">
        <f t="shared" si="1055"/>
        <v>PJ/yr.</v>
      </c>
      <c r="F1727" s="1">
        <f t="shared" si="1056"/>
        <v>117.09567308576945</v>
      </c>
      <c r="G1727" s="1">
        <f t="shared" si="1056"/>
        <v>106.71999963060976</v>
      </c>
      <c r="H1727" s="1">
        <f t="shared" si="1056"/>
        <v>101.73567034087385</v>
      </c>
      <c r="I1727" s="1">
        <f t="shared" si="1056"/>
        <v>59.893155379343803</v>
      </c>
      <c r="J1727" s="1">
        <f t="shared" si="1056"/>
        <v>25.853671967549111</v>
      </c>
      <c r="K1727" s="1">
        <f t="shared" si="1056"/>
        <v>22.230350772463609</v>
      </c>
    </row>
    <row r="1728" spans="2:11" x14ac:dyDescent="0.25">
      <c r="B1728" t="str">
        <f t="shared" si="1057"/>
        <v>SPS3</v>
      </c>
      <c r="C1728" t="str">
        <f t="shared" si="1054"/>
        <v>CH</v>
      </c>
      <c r="D1728" t="s">
        <v>1760</v>
      </c>
      <c r="E1728" t="str">
        <f t="shared" si="1055"/>
        <v>PJ/yr.</v>
      </c>
      <c r="F1728" s="1">
        <f t="shared" si="1056"/>
        <v>0</v>
      </c>
      <c r="G1728" s="1">
        <f t="shared" si="1056"/>
        <v>0</v>
      </c>
      <c r="H1728" s="1">
        <f t="shared" si="1056"/>
        <v>0</v>
      </c>
      <c r="I1728" s="1">
        <f t="shared" si="1056"/>
        <v>1.9269051429701702E-3</v>
      </c>
      <c r="J1728" s="1">
        <f t="shared" si="1056"/>
        <v>1.5404699141910213E-3</v>
      </c>
      <c r="K1728" s="1">
        <f t="shared" si="1056"/>
        <v>5.4970792176133455E-4</v>
      </c>
    </row>
    <row r="1729" spans="2:11" x14ac:dyDescent="0.25">
      <c r="B1729" t="str">
        <f t="shared" si="1057"/>
        <v>SPS3</v>
      </c>
      <c r="C1729" t="str">
        <f t="shared" si="1054"/>
        <v>CH</v>
      </c>
      <c r="D1729" t="s">
        <v>1761</v>
      </c>
      <c r="E1729" t="str">
        <f t="shared" si="1055"/>
        <v>PJ/yr.</v>
      </c>
      <c r="F1729" s="1">
        <f t="shared" si="1056"/>
        <v>0</v>
      </c>
      <c r="G1729" s="1">
        <f t="shared" si="1056"/>
        <v>0.2585954006651891</v>
      </c>
      <c r="H1729" s="1">
        <f t="shared" si="1056"/>
        <v>0.84225325557528863</v>
      </c>
      <c r="I1729" s="1">
        <f t="shared" si="1056"/>
        <v>4.4048311500008135E-3</v>
      </c>
      <c r="J1729" s="1">
        <f t="shared" si="1056"/>
        <v>2.656975856135749</v>
      </c>
      <c r="K1729" s="1">
        <f t="shared" si="1056"/>
        <v>2.1351793126430154</v>
      </c>
    </row>
    <row r="1730" spans="2:11" x14ac:dyDescent="0.25">
      <c r="B1730" t="str">
        <f t="shared" si="1057"/>
        <v>SPS3</v>
      </c>
      <c r="C1730" t="str">
        <f t="shared" si="1054"/>
        <v>CH</v>
      </c>
      <c r="D1730" t="s">
        <v>1762</v>
      </c>
      <c r="E1730" t="str">
        <f t="shared" si="1055"/>
        <v>PJ/yr.</v>
      </c>
      <c r="F1730" s="1">
        <f t="shared" si="1056"/>
        <v>0</v>
      </c>
      <c r="G1730" s="1">
        <f t="shared" si="1056"/>
        <v>0.2585954006651891</v>
      </c>
      <c r="H1730" s="1">
        <f t="shared" si="1056"/>
        <v>0.84225325557528863</v>
      </c>
      <c r="I1730" s="1">
        <f t="shared" si="1056"/>
        <v>4.4048311500008135E-3</v>
      </c>
      <c r="J1730" s="1">
        <f t="shared" si="1056"/>
        <v>0.84225325557528863</v>
      </c>
      <c r="K1730" s="1">
        <f t="shared" si="1056"/>
        <v>2.1351793126430154</v>
      </c>
    </row>
    <row r="1731" spans="2:11" x14ac:dyDescent="0.25">
      <c r="B1731" t="str">
        <f t="shared" si="1057"/>
        <v>SPS3</v>
      </c>
      <c r="C1731" t="str">
        <f t="shared" si="1054"/>
        <v>CH</v>
      </c>
      <c r="D1731" t="s">
        <v>1763</v>
      </c>
      <c r="E1731" t="str">
        <f t="shared" si="1055"/>
        <v>PJ/yr.</v>
      </c>
      <c r="F1731" s="1">
        <f t="shared" si="1056"/>
        <v>0</v>
      </c>
      <c r="G1731" s="1">
        <f t="shared" si="1056"/>
        <v>0.2585954006651891</v>
      </c>
      <c r="H1731" s="1">
        <f t="shared" si="1056"/>
        <v>0.84225325557528863</v>
      </c>
      <c r="I1731" s="1">
        <f t="shared" si="1056"/>
        <v>4.4048311500008135E-3</v>
      </c>
      <c r="J1731" s="1">
        <f t="shared" si="1056"/>
        <v>0.84225325557528863</v>
      </c>
      <c r="K1731" s="1">
        <f t="shared" si="1056"/>
        <v>2.1351793126430154</v>
      </c>
    </row>
    <row r="1732" spans="2:11" x14ac:dyDescent="0.25">
      <c r="B1732" t="str">
        <f t="shared" si="1057"/>
        <v>SPS3</v>
      </c>
      <c r="C1732" t="str">
        <f t="shared" si="1054"/>
        <v>CH</v>
      </c>
      <c r="D1732" t="s">
        <v>1764</v>
      </c>
      <c r="E1732" t="str">
        <f t="shared" si="1055"/>
        <v>PJ/yr.</v>
      </c>
      <c r="F1732" s="1">
        <f t="shared" si="1056"/>
        <v>0</v>
      </c>
      <c r="G1732" s="1">
        <f t="shared" si="1056"/>
        <v>0</v>
      </c>
      <c r="H1732" s="1">
        <f t="shared" si="1056"/>
        <v>0</v>
      </c>
      <c r="I1732" s="1">
        <f t="shared" si="1056"/>
        <v>0</v>
      </c>
      <c r="J1732" s="1">
        <f t="shared" si="1056"/>
        <v>1.8147226005604604</v>
      </c>
      <c r="K1732" s="1">
        <f t="shared" si="1056"/>
        <v>0</v>
      </c>
    </row>
    <row r="1733" spans="2:11" x14ac:dyDescent="0.25">
      <c r="B1733" t="str">
        <f t="shared" si="1057"/>
        <v>SPS3</v>
      </c>
      <c r="C1733" t="str">
        <f t="shared" si="1054"/>
        <v>CH</v>
      </c>
      <c r="D1733" t="s">
        <v>1765</v>
      </c>
      <c r="E1733" t="str">
        <f t="shared" si="1055"/>
        <v>PJ/yr.</v>
      </c>
      <c r="F1733" s="1">
        <f t="shared" si="1056"/>
        <v>0</v>
      </c>
      <c r="G1733" s="1">
        <f t="shared" si="1056"/>
        <v>0</v>
      </c>
      <c r="H1733" s="1">
        <f t="shared" si="1056"/>
        <v>0</v>
      </c>
      <c r="I1733" s="1">
        <f t="shared" si="1056"/>
        <v>0</v>
      </c>
      <c r="J1733" s="1">
        <f t="shared" si="1056"/>
        <v>1.8147226005604604</v>
      </c>
      <c r="K1733" s="1">
        <f t="shared" si="1056"/>
        <v>0</v>
      </c>
    </row>
    <row r="1734" spans="2:11" x14ac:dyDescent="0.25">
      <c r="B1734" t="str">
        <f t="shared" si="1057"/>
        <v>SPS3</v>
      </c>
      <c r="C1734" t="str">
        <f t="shared" si="1054"/>
        <v>CH</v>
      </c>
      <c r="D1734" t="s">
        <v>1766</v>
      </c>
      <c r="E1734" t="str">
        <f t="shared" si="1055"/>
        <v>PJ/yr.</v>
      </c>
      <c r="F1734" s="1">
        <f t="shared" si="1056"/>
        <v>250.94821011274584</v>
      </c>
      <c r="G1734" s="1">
        <f t="shared" si="1056"/>
        <v>253.2994782931132</v>
      </c>
      <c r="H1734" s="1">
        <f t="shared" si="1056"/>
        <v>215.81740613283452</v>
      </c>
      <c r="I1734" s="1">
        <f t="shared" si="1056"/>
        <v>209.64537929856593</v>
      </c>
      <c r="J1734" s="1">
        <f t="shared" si="1056"/>
        <v>98.947522733277125</v>
      </c>
      <c r="K1734" s="1">
        <f t="shared" si="1056"/>
        <v>6.49878655905114E-6</v>
      </c>
    </row>
    <row r="1735" spans="2:11" x14ac:dyDescent="0.25">
      <c r="B1735" t="str">
        <f t="shared" si="1057"/>
        <v>SPS3</v>
      </c>
      <c r="C1735" t="str">
        <f t="shared" si="1054"/>
        <v>CH</v>
      </c>
      <c r="D1735" t="s">
        <v>1767</v>
      </c>
      <c r="E1735" t="str">
        <f t="shared" si="1055"/>
        <v>PJ/yr.</v>
      </c>
      <c r="F1735" s="1">
        <f>-F56+F49</f>
        <v>-20.010002507255365</v>
      </c>
      <c r="G1735" s="1">
        <f t="shared" ref="G1735:K1735" si="1058">-G56+G49</f>
        <v>14.371581435422733</v>
      </c>
      <c r="H1735" s="1">
        <f t="shared" si="1058"/>
        <v>-4.3196029461498071</v>
      </c>
      <c r="I1735" s="1">
        <f t="shared" si="1058"/>
        <v>-1.8678368007840618E-7</v>
      </c>
      <c r="J1735" s="1">
        <f t="shared" si="1058"/>
        <v>11.614853109895012</v>
      </c>
      <c r="K1735" s="1">
        <f t="shared" si="1058"/>
        <v>0.31844018363122117</v>
      </c>
    </row>
    <row r="1736" spans="2:11" x14ac:dyDescent="0.25">
      <c r="B1736" t="str">
        <f t="shared" si="1057"/>
        <v>SPS3</v>
      </c>
      <c r="C1736" t="str">
        <f t="shared" si="1054"/>
        <v>CH</v>
      </c>
      <c r="D1736" t="s">
        <v>1768</v>
      </c>
      <c r="E1736" t="str">
        <f t="shared" si="1055"/>
        <v>PJ/yr.</v>
      </c>
      <c r="F1736" s="1">
        <f>F54</f>
        <v>0</v>
      </c>
      <c r="G1736" s="1">
        <f t="shared" ref="G1736:K1736" si="1059">G54</f>
        <v>0</v>
      </c>
      <c r="H1736" s="1">
        <f t="shared" si="1059"/>
        <v>0</v>
      </c>
      <c r="I1736" s="1">
        <f t="shared" si="1059"/>
        <v>0</v>
      </c>
      <c r="J1736" s="1">
        <f t="shared" si="1059"/>
        <v>0</v>
      </c>
      <c r="K1736" s="1">
        <f t="shared" si="1059"/>
        <v>0</v>
      </c>
    </row>
    <row r="1737" spans="2:11" x14ac:dyDescent="0.25">
      <c r="B1737" t="str">
        <f t="shared" si="1057"/>
        <v>SPS3</v>
      </c>
      <c r="C1737" t="str">
        <f t="shared" si="1054"/>
        <v>CH</v>
      </c>
      <c r="D1737" t="s">
        <v>1770</v>
      </c>
      <c r="E1737" t="str">
        <f>E3</f>
        <v>PJ/yr.</v>
      </c>
      <c r="F1737" s="1">
        <f>F3</f>
        <v>44.77000371758907</v>
      </c>
      <c r="G1737" s="1">
        <f t="shared" ref="G1737:K1737" si="1060">G3</f>
        <v>47.260893315517038</v>
      </c>
      <c r="H1737" s="1">
        <f t="shared" si="1060"/>
        <v>47.260926637142433</v>
      </c>
      <c r="I1737" s="1">
        <f t="shared" si="1060"/>
        <v>47.709997996035732</v>
      </c>
      <c r="J1737" s="1">
        <f t="shared" si="1060"/>
        <v>47.710001924786432</v>
      </c>
      <c r="K1737" s="1">
        <f t="shared" si="1060"/>
        <v>48.19008834662565</v>
      </c>
    </row>
    <row r="1738" spans="2:11" x14ac:dyDescent="0.25">
      <c r="B1738" t="str">
        <f t="shared" si="1057"/>
        <v>SPS3</v>
      </c>
      <c r="C1738" t="str">
        <f t="shared" si="1054"/>
        <v>CH</v>
      </c>
      <c r="D1738" t="s">
        <v>1771</v>
      </c>
      <c r="E1738" t="str">
        <f t="shared" ref="E1738:F1738" si="1061">E4</f>
        <v>PJ/yr.</v>
      </c>
      <c r="F1738" s="1">
        <f t="shared" si="1061"/>
        <v>10.182340855969255</v>
      </c>
      <c r="G1738" s="1">
        <f t="shared" ref="G1738:K1738" si="1062">G4</f>
        <v>11.152950504252237</v>
      </c>
      <c r="H1738" s="1">
        <f t="shared" si="1062"/>
        <v>12.608865640444654</v>
      </c>
      <c r="I1738" s="1">
        <f t="shared" si="1062"/>
        <v>15.035394083064421</v>
      </c>
      <c r="J1738" s="1">
        <f t="shared" si="1062"/>
        <v>17.461918007693519</v>
      </c>
      <c r="K1738" s="1">
        <f t="shared" si="1062"/>
        <v>17.461921492286304</v>
      </c>
    </row>
    <row r="1739" spans="2:11" x14ac:dyDescent="0.25">
      <c r="B1739" t="str">
        <f t="shared" si="1057"/>
        <v>SPS3</v>
      </c>
      <c r="C1739" t="str">
        <f t="shared" si="1054"/>
        <v>CH</v>
      </c>
      <c r="D1739" t="s">
        <v>1772</v>
      </c>
      <c r="E1739" t="str">
        <f t="shared" ref="E1739:F1739" si="1063">E5</f>
        <v>PJ/yr.</v>
      </c>
      <c r="F1739" s="1">
        <f t="shared" si="1063"/>
        <v>7.4592177142325786</v>
      </c>
      <c r="G1739" s="1">
        <f t="shared" ref="G1739:K1739" si="1064">G5</f>
        <v>8.0030401363863746</v>
      </c>
      <c r="H1739" s="1">
        <f t="shared" si="1064"/>
        <v>8.8187744488884672</v>
      </c>
      <c r="I1739" s="1">
        <f t="shared" si="1064"/>
        <v>10.17833424096615</v>
      </c>
      <c r="J1739" s="1">
        <f t="shared" si="1064"/>
        <v>10.23078696789117</v>
      </c>
      <c r="K1739" s="1">
        <f t="shared" si="1064"/>
        <v>7.616573514251237</v>
      </c>
    </row>
    <row r="1740" spans="2:11" x14ac:dyDescent="0.25">
      <c r="B1740" t="str">
        <f t="shared" si="1057"/>
        <v>SPS3</v>
      </c>
      <c r="C1740" t="str">
        <f t="shared" si="1054"/>
        <v>CH</v>
      </c>
      <c r="D1740" t="s">
        <v>1773</v>
      </c>
      <c r="E1740" t="str">
        <f t="shared" ref="E1740:F1740" si="1065">E6</f>
        <v>PJ/yr.</v>
      </c>
      <c r="F1740" s="1">
        <f t="shared" si="1065"/>
        <v>2.6225295994194773</v>
      </c>
      <c r="G1740" s="1">
        <f t="shared" ref="G1740:K1740" si="1066">G6</f>
        <v>3.2650034660076281</v>
      </c>
      <c r="H1740" s="1">
        <f t="shared" si="1066"/>
        <v>4.2287158301637016</v>
      </c>
      <c r="I1740" s="1">
        <f t="shared" si="1066"/>
        <v>5.834906642443821</v>
      </c>
      <c r="J1740" s="1">
        <f t="shared" si="1066"/>
        <v>6.3806203135241182</v>
      </c>
      <c r="K1740" s="1">
        <f t="shared" si="1066"/>
        <v>4.2596698746395036</v>
      </c>
    </row>
    <row r="1741" spans="2:11" x14ac:dyDescent="0.25">
      <c r="B1741" t="str">
        <f t="shared" si="1057"/>
        <v>SPS3</v>
      </c>
      <c r="C1741" t="str">
        <f t="shared" si="1054"/>
        <v>CH</v>
      </c>
      <c r="D1741" t="s">
        <v>1774</v>
      </c>
      <c r="E1741" t="str">
        <f t="shared" ref="E1741:F1741" si="1067">E7</f>
        <v>PJ/yr.</v>
      </c>
      <c r="F1741" s="1">
        <f t="shared" si="1067"/>
        <v>24.50591554796776</v>
      </c>
      <c r="G1741" s="1">
        <f t="shared" ref="G1741:K1741" si="1068">G7</f>
        <v>24.839899208870797</v>
      </c>
      <c r="H1741" s="1">
        <f t="shared" si="1068"/>
        <v>21.604570717645615</v>
      </c>
      <c r="I1741" s="1">
        <f t="shared" si="1068"/>
        <v>16.661363029561343</v>
      </c>
      <c r="J1741" s="1">
        <f t="shared" si="1068"/>
        <v>13.636676635677624</v>
      </c>
      <c r="K1741" s="1">
        <f t="shared" si="1068"/>
        <v>18.851923465448607</v>
      </c>
    </row>
    <row r="1742" spans="2:11" x14ac:dyDescent="0.25">
      <c r="B1742" t="str">
        <f t="shared" si="1057"/>
        <v>SPS3</v>
      </c>
      <c r="C1742" t="str">
        <f t="shared" si="1054"/>
        <v>CH</v>
      </c>
      <c r="D1742" t="s">
        <v>1775</v>
      </c>
      <c r="E1742" t="str">
        <f t="shared" ref="E1742:F1742" si="1069">E8</f>
        <v>PJ/yr.</v>
      </c>
      <c r="F1742" s="1">
        <f t="shared" si="1069"/>
        <v>69.392841428761102</v>
      </c>
      <c r="G1742" s="1">
        <f t="shared" ref="G1742:K1742" si="1070">G8</f>
        <v>69.663483200423059</v>
      </c>
      <c r="H1742" s="1">
        <f t="shared" si="1070"/>
        <v>69.270571921223336</v>
      </c>
      <c r="I1742" s="1">
        <f t="shared" si="1070"/>
        <v>72.003819232815161</v>
      </c>
      <c r="J1742" s="1">
        <f t="shared" si="1070"/>
        <v>71.477120769343912</v>
      </c>
      <c r="K1742" s="1">
        <f t="shared" si="1070"/>
        <v>77.502289203134424</v>
      </c>
    </row>
    <row r="1743" spans="2:11" x14ac:dyDescent="0.25">
      <c r="B1743" t="str">
        <f t="shared" si="1057"/>
        <v>SPS3</v>
      </c>
      <c r="C1743" t="str">
        <f t="shared" si="1054"/>
        <v>CH</v>
      </c>
      <c r="D1743" t="s">
        <v>1776</v>
      </c>
      <c r="E1743" t="str">
        <f t="shared" ref="E1743:F1743" si="1071">E9</f>
        <v>PJ/yr.</v>
      </c>
      <c r="F1743" s="1">
        <f t="shared" si="1071"/>
        <v>35.611737755538719</v>
      </c>
      <c r="G1743" s="1">
        <f t="shared" ref="G1743:K1743" si="1072">G9</f>
        <v>35.882383632232298</v>
      </c>
      <c r="H1743" s="1">
        <f t="shared" si="1072"/>
        <v>35.489471931755446</v>
      </c>
      <c r="I1743" s="1">
        <f t="shared" si="1072"/>
        <v>35.687239319760643</v>
      </c>
      <c r="J1743" s="1">
        <f t="shared" si="1072"/>
        <v>35.159449440546659</v>
      </c>
      <c r="K1743" s="1">
        <f t="shared" si="1072"/>
        <v>35.603177939998382</v>
      </c>
    </row>
    <row r="1744" spans="2:11" x14ac:dyDescent="0.25">
      <c r="B1744" t="str">
        <f t="shared" si="1057"/>
        <v>SPS3</v>
      </c>
      <c r="C1744" t="str">
        <f t="shared" si="1054"/>
        <v>CH</v>
      </c>
      <c r="D1744" t="s">
        <v>1777</v>
      </c>
      <c r="E1744" t="str">
        <f t="shared" ref="E1744:F1744" si="1073">E10</f>
        <v>PJ/yr.</v>
      </c>
      <c r="F1744" s="1">
        <f t="shared" si="1073"/>
        <v>33.781103673222383</v>
      </c>
      <c r="G1744" s="1">
        <f t="shared" ref="G1744:K1744" si="1074">G10</f>
        <v>33.781099568190768</v>
      </c>
      <c r="H1744" s="1">
        <f t="shared" si="1074"/>
        <v>33.781099989467883</v>
      </c>
      <c r="I1744" s="1">
        <f t="shared" si="1074"/>
        <v>36.316579913054518</v>
      </c>
      <c r="J1744" s="1">
        <f t="shared" si="1074"/>
        <v>36.317671328797253</v>
      </c>
      <c r="K1744" s="1">
        <f t="shared" si="1074"/>
        <v>41.899111263136042</v>
      </c>
    </row>
    <row r="1745" spans="2:11" x14ac:dyDescent="0.25">
      <c r="B1745" t="str">
        <f t="shared" si="1057"/>
        <v>SPS3</v>
      </c>
      <c r="C1745" t="str">
        <f t="shared" si="1054"/>
        <v>CH</v>
      </c>
      <c r="D1745" t="s">
        <v>1778</v>
      </c>
      <c r="E1745" t="str">
        <f t="shared" ref="E1745:F1745" si="1075">E11</f>
        <v>PJ/yr.</v>
      </c>
      <c r="F1745" s="1">
        <f t="shared" si="1075"/>
        <v>3.7980906332503261</v>
      </c>
      <c r="G1745" s="1">
        <f t="shared" ref="G1745:K1745" si="1076">G11</f>
        <v>9.7111755425622217</v>
      </c>
      <c r="H1745" s="1">
        <f t="shared" si="1076"/>
        <v>10.246746572481936</v>
      </c>
      <c r="I1745" s="1">
        <f t="shared" si="1076"/>
        <v>17.106700972075629</v>
      </c>
      <c r="J1745" s="1">
        <f t="shared" si="1076"/>
        <v>21.58182884639173</v>
      </c>
      <c r="K1745" s="1">
        <f t="shared" si="1076"/>
        <v>26.999997589766195</v>
      </c>
    </row>
    <row r="1746" spans="2:11" x14ac:dyDescent="0.25">
      <c r="B1746" t="str">
        <f t="shared" si="1057"/>
        <v>SPS3</v>
      </c>
      <c r="C1746" t="str">
        <f t="shared" si="1054"/>
        <v>CH</v>
      </c>
      <c r="D1746" t="s">
        <v>1779</v>
      </c>
      <c r="E1746" t="str">
        <f t="shared" ref="E1746:F1746" si="1077">E12</f>
        <v>PJ/yr.</v>
      </c>
      <c r="F1746" s="1">
        <f t="shared" si="1077"/>
        <v>149.43048596362641</v>
      </c>
      <c r="G1746" s="1">
        <f t="shared" ref="G1746:K1746" si="1078">G12</f>
        <v>125.60677798439556</v>
      </c>
      <c r="H1746" s="1">
        <f t="shared" si="1078"/>
        <v>195.98077643945675</v>
      </c>
      <c r="I1746" s="1">
        <f t="shared" si="1078"/>
        <v>189.10744200754817</v>
      </c>
      <c r="J1746" s="1">
        <f t="shared" si="1078"/>
        <v>150.98626883252561</v>
      </c>
      <c r="K1746" s="1">
        <f t="shared" si="1078"/>
        <v>151.7909733465348</v>
      </c>
    </row>
    <row r="1747" spans="2:11" x14ac:dyDescent="0.25">
      <c r="B1747" t="str">
        <f t="shared" si="1057"/>
        <v>SPS3</v>
      </c>
      <c r="C1747" t="str">
        <f t="shared" si="1054"/>
        <v>CH</v>
      </c>
      <c r="D1747" t="s">
        <v>1780</v>
      </c>
      <c r="E1747" t="str">
        <f t="shared" ref="E1747:F1747" si="1079">E13</f>
        <v>PJ/yr.</v>
      </c>
      <c r="F1747" s="1">
        <f t="shared" si="1079"/>
        <v>66.745680037910205</v>
      </c>
      <c r="G1747" s="1">
        <f t="shared" ref="G1747:K1747" si="1080">G13</f>
        <v>49.798798199551555</v>
      </c>
      <c r="H1747" s="1">
        <f t="shared" si="1080"/>
        <v>68.534871720406599</v>
      </c>
      <c r="I1747" s="1">
        <f t="shared" si="1080"/>
        <v>70.207444882694688</v>
      </c>
      <c r="J1747" s="1">
        <f t="shared" si="1080"/>
        <v>72.378790765899794</v>
      </c>
      <c r="K1747" s="1">
        <f t="shared" si="1080"/>
        <v>74.335877429190887</v>
      </c>
    </row>
    <row r="1748" spans="2:11" x14ac:dyDescent="0.25">
      <c r="B1748" t="str">
        <f t="shared" si="1057"/>
        <v>SPS3</v>
      </c>
      <c r="C1748" t="str">
        <f t="shared" si="1054"/>
        <v>CH</v>
      </c>
      <c r="D1748" t="s">
        <v>1781</v>
      </c>
      <c r="E1748" t="str">
        <f t="shared" ref="E1748:F1748" si="1081">E14</f>
        <v>PJ/yr.</v>
      </c>
      <c r="F1748" s="1">
        <f t="shared" si="1081"/>
        <v>66.632402450035997</v>
      </c>
      <c r="G1748" s="1">
        <f t="shared" ref="G1748:K1748" si="1082">G14</f>
        <v>55.764000771154585</v>
      </c>
      <c r="H1748" s="1">
        <f t="shared" si="1082"/>
        <v>65.550470630124664</v>
      </c>
      <c r="I1748" s="1">
        <f t="shared" si="1082"/>
        <v>64.491829575698375</v>
      </c>
      <c r="J1748" s="1">
        <f t="shared" si="1082"/>
        <v>62.323588762492044</v>
      </c>
      <c r="K1748" s="1">
        <f t="shared" si="1082"/>
        <v>60.977329968934797</v>
      </c>
    </row>
    <row r="1749" spans="2:11" x14ac:dyDescent="0.25">
      <c r="B1749" t="str">
        <f t="shared" si="1057"/>
        <v>SPS3</v>
      </c>
      <c r="C1749" t="str">
        <f t="shared" si="1054"/>
        <v>CH</v>
      </c>
      <c r="D1749" t="s">
        <v>1782</v>
      </c>
      <c r="E1749" t="str">
        <f t="shared" ref="E1749:F1749" si="1083">E15</f>
        <v>PJ/yr.</v>
      </c>
      <c r="F1749" s="1">
        <f t="shared" si="1083"/>
        <v>16.052403475680226</v>
      </c>
      <c r="G1749" s="1">
        <f t="shared" ref="G1749:K1749" si="1084">G15</f>
        <v>20.04397901368942</v>
      </c>
      <c r="H1749" s="1">
        <f t="shared" si="1084"/>
        <v>61.895434088925462</v>
      </c>
      <c r="I1749" s="1">
        <f t="shared" si="1084"/>
        <v>54.408167549155124</v>
      </c>
      <c r="J1749" s="1">
        <f t="shared" si="1084"/>
        <v>16.283889304133776</v>
      </c>
      <c r="K1749" s="1">
        <f t="shared" si="1084"/>
        <v>16.477765948409125</v>
      </c>
    </row>
    <row r="1750" spans="2:11" x14ac:dyDescent="0.25">
      <c r="B1750" t="str">
        <f t="shared" si="1057"/>
        <v>SPS3</v>
      </c>
      <c r="C1750" t="str">
        <f t="shared" si="1054"/>
        <v>CH</v>
      </c>
      <c r="D1750" t="s">
        <v>1783</v>
      </c>
      <c r="E1750" t="str">
        <f t="shared" ref="E1750:F1750" si="1085">E16</f>
        <v>PJ/yr.</v>
      </c>
      <c r="F1750" s="1">
        <f t="shared" si="1085"/>
        <v>12.556464090735391</v>
      </c>
      <c r="G1750" s="1">
        <f t="shared" ref="G1750:K1750" si="1086">G16</f>
        <v>16.523486443896122</v>
      </c>
      <c r="H1750" s="1">
        <f t="shared" si="1086"/>
        <v>30.858040072300597</v>
      </c>
      <c r="I1750" s="1">
        <f t="shared" si="1086"/>
        <v>66.668628432263418</v>
      </c>
      <c r="J1750" s="1">
        <f t="shared" si="1086"/>
        <v>83.069262292655594</v>
      </c>
      <c r="K1750" s="1">
        <f t="shared" si="1086"/>
        <v>94.311255181394671</v>
      </c>
    </row>
    <row r="1751" spans="2:11" x14ac:dyDescent="0.25">
      <c r="B1751" t="str">
        <f t="shared" si="1057"/>
        <v>SPS3</v>
      </c>
      <c r="C1751" t="str">
        <f t="shared" si="1054"/>
        <v>CH</v>
      </c>
      <c r="D1751" t="s">
        <v>1784</v>
      </c>
      <c r="E1751" t="str">
        <f t="shared" ref="E1751:F1751" si="1087">E17</f>
        <v>PJ/yr.</v>
      </c>
      <c r="F1751" s="1">
        <f t="shared" si="1087"/>
        <v>0.52402664144412414</v>
      </c>
      <c r="G1751" s="1">
        <f t="shared" ref="G1751:K1751" si="1088">G17</f>
        <v>0.54529307515212488</v>
      </c>
      <c r="H1751" s="1">
        <f t="shared" si="1088"/>
        <v>0.50324644736262492</v>
      </c>
      <c r="I1751" s="1">
        <f t="shared" si="1088"/>
        <v>1.0882448589246578</v>
      </c>
      <c r="J1751" s="1">
        <f t="shared" si="1088"/>
        <v>3.0600264351057045</v>
      </c>
      <c r="K1751" s="1">
        <f t="shared" si="1088"/>
        <v>6.1200135079164868</v>
      </c>
    </row>
    <row r="1752" spans="2:11" x14ac:dyDescent="0.25">
      <c r="B1752" t="str">
        <f t="shared" si="1057"/>
        <v>SPS3</v>
      </c>
      <c r="C1752" t="str">
        <f t="shared" si="1054"/>
        <v>CH</v>
      </c>
      <c r="D1752" t="s">
        <v>1785</v>
      </c>
      <c r="E1752" t="str">
        <f t="shared" ref="E1752:F1752" si="1089">E18</f>
        <v>PJ/yr.</v>
      </c>
      <c r="F1752" s="1">
        <f t="shared" si="1089"/>
        <v>18.873061116679573</v>
      </c>
      <c r="G1752" s="1">
        <f t="shared" ref="G1752:K1752" si="1090">G18</f>
        <v>21.778103064108812</v>
      </c>
      <c r="H1752" s="1">
        <f t="shared" si="1090"/>
        <v>34.237680339848779</v>
      </c>
      <c r="I1752" s="1">
        <f t="shared" si="1090"/>
        <v>62.803852357927866</v>
      </c>
      <c r="J1752" s="1">
        <f t="shared" si="1090"/>
        <v>92.752958467181557</v>
      </c>
      <c r="K1752" s="1">
        <f t="shared" si="1090"/>
        <v>92.184215134033636</v>
      </c>
    </row>
    <row r="1753" spans="2:11" x14ac:dyDescent="0.25">
      <c r="B1753" t="str">
        <f t="shared" si="1057"/>
        <v>SPS3</v>
      </c>
      <c r="C1753" t="str">
        <f t="shared" si="1054"/>
        <v>CH</v>
      </c>
      <c r="D1753" t="s">
        <v>1786</v>
      </c>
      <c r="E1753" t="str">
        <f t="shared" ref="E1753:F1753" si="1091">E19</f>
        <v>PJ/yr.</v>
      </c>
      <c r="F1753" s="1">
        <f t="shared" si="1091"/>
        <v>0</v>
      </c>
      <c r="G1753" s="1">
        <f t="shared" ref="G1753:K1753" si="1092">G19</f>
        <v>0</v>
      </c>
      <c r="H1753" s="1">
        <f t="shared" si="1092"/>
        <v>0</v>
      </c>
      <c r="I1753" s="1">
        <f t="shared" si="1092"/>
        <v>0</v>
      </c>
      <c r="J1753" s="1">
        <f t="shared" si="1092"/>
        <v>1.2530926930719329E-3</v>
      </c>
      <c r="K1753" s="1">
        <f t="shared" si="1092"/>
        <v>1.3710859170397679E-3</v>
      </c>
    </row>
    <row r="1754" spans="2:11" x14ac:dyDescent="0.25">
      <c r="B1754" s="9" t="str">
        <f t="shared" si="1057"/>
        <v>SPS3</v>
      </c>
      <c r="C1754" s="2" t="str">
        <f t="shared" si="1054"/>
        <v>CH</v>
      </c>
      <c r="D1754" s="2" t="s">
        <v>1789</v>
      </c>
      <c r="E1754" s="2" t="s">
        <v>1858</v>
      </c>
      <c r="F1754" s="3">
        <f t="shared" ref="F1754:K1754" si="1093">SUM(F1755,F1757,F1761,F1765,F1781,F1788,F1796,F1798,F1806,F1810,F1804)</f>
        <v>22.32073652404436</v>
      </c>
      <c r="G1754" s="3">
        <f t="shared" si="1093"/>
        <v>24.639419430396714</v>
      </c>
      <c r="H1754" s="3">
        <f t="shared" si="1093"/>
        <v>29.481903180614246</v>
      </c>
      <c r="I1754" s="3">
        <f t="shared" si="1093"/>
        <v>38.825936011059973</v>
      </c>
      <c r="J1754" s="3">
        <f t="shared" si="1093"/>
        <v>42.777932172948958</v>
      </c>
      <c r="K1754" s="3">
        <f t="shared" si="1093"/>
        <v>46.858408767882146</v>
      </c>
    </row>
    <row r="1755" spans="2:11" x14ac:dyDescent="0.25">
      <c r="B1755" s="5" t="str">
        <f t="shared" si="1057"/>
        <v>SPS3</v>
      </c>
      <c r="C1755" s="5" t="str">
        <f t="shared" si="1054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094">+G1756</f>
        <v>3.0805587219222113</v>
      </c>
      <c r="H1755" s="1">
        <f t="shared" si="1094"/>
        <v>2.8402417135845561</v>
      </c>
      <c r="I1755" s="1">
        <f t="shared" si="1094"/>
        <v>2.6090415664829618</v>
      </c>
      <c r="J1755" s="1">
        <f t="shared" si="1094"/>
        <v>1.2356851844506809</v>
      </c>
      <c r="K1755" s="1">
        <f t="shared" si="1094"/>
        <v>0</v>
      </c>
    </row>
    <row r="1756" spans="2:11" x14ac:dyDescent="0.25">
      <c r="B1756" s="5" t="str">
        <f t="shared" si="1057"/>
        <v>SPS3</v>
      </c>
      <c r="C1756" s="5" t="str">
        <f t="shared" si="1054"/>
        <v>CH</v>
      </c>
      <c r="D1756" t="s">
        <v>1792</v>
      </c>
      <c r="E1756" t="str">
        <f t="shared" ref="E1756:E1817" si="1095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25">
      <c r="B1757" s="5" t="str">
        <f t="shared" si="1057"/>
        <v>SPS3</v>
      </c>
      <c r="C1757" s="5" t="str">
        <f t="shared" si="1054"/>
        <v>CH</v>
      </c>
      <c r="D1757" t="s">
        <v>1793</v>
      </c>
      <c r="E1757" t="str">
        <f t="shared" si="1095"/>
        <v>GWe/yr.</v>
      </c>
      <c r="F1757" s="1">
        <f>SUM(F1758:F1760)</f>
        <v>15.403610001059999</v>
      </c>
      <c r="G1757" s="1">
        <f t="shared" ref="G1757:K1757" si="1096">SUM(G1758:G1760)</f>
        <v>16.197463139569152</v>
      </c>
      <c r="H1757" s="1">
        <f t="shared" si="1096"/>
        <v>16.636978063001642</v>
      </c>
      <c r="I1757" s="1">
        <f t="shared" si="1096"/>
        <v>16.642356464072897</v>
      </c>
      <c r="J1757" s="1">
        <f t="shared" si="1096"/>
        <v>16.666616609628331</v>
      </c>
      <c r="K1757" s="1">
        <f t="shared" si="1096"/>
        <v>16.913046047199327</v>
      </c>
    </row>
    <row r="1758" spans="2:11" x14ac:dyDescent="0.25">
      <c r="B1758" s="5" t="str">
        <f t="shared" si="1057"/>
        <v>SPS3</v>
      </c>
      <c r="C1758" s="5" t="str">
        <f t="shared" si="1054"/>
        <v>CH</v>
      </c>
      <c r="D1758" t="s">
        <v>1794</v>
      </c>
      <c r="E1758" t="str">
        <f t="shared" si="1095"/>
        <v>GWe/yr.</v>
      </c>
      <c r="F1758" s="1">
        <f>'[1]Electricity and CHPs_CAP'!B$15</f>
        <v>7.3394300010600002</v>
      </c>
      <c r="G1758" s="1">
        <f>'[1]Electricity and CHPs_CAP'!C$15</f>
        <v>7.4159825842324105</v>
      </c>
      <c r="H1758" s="1">
        <f>'[1]Electricity and CHPs_CAP'!D$15</f>
        <v>7.4159830621316889</v>
      </c>
      <c r="I1758" s="1">
        <f>'[1]Electricity and CHPs_CAP'!E$15</f>
        <v>7.4159846598849972</v>
      </c>
      <c r="J1758" s="1">
        <f>'[1]Electricity and CHPs_CAP'!F$15</f>
        <v>7.4402334302220581</v>
      </c>
      <c r="K1758" s="1">
        <f>'[1]Electricity and CHPs_CAP'!G$15</f>
        <v>7.6379274346559445</v>
      </c>
    </row>
    <row r="1759" spans="2:11" x14ac:dyDescent="0.25">
      <c r="B1759" s="5" t="str">
        <f t="shared" si="1057"/>
        <v>SPS3</v>
      </c>
      <c r="C1759" s="5" t="str">
        <f t="shared" si="1054"/>
        <v>CH</v>
      </c>
      <c r="D1759" t="s">
        <v>1795</v>
      </c>
      <c r="E1759" t="str">
        <f t="shared" si="1095"/>
        <v>GWe/yr.</v>
      </c>
      <c r="F1759" s="1">
        <f>'[1]Electricity and CHPs_CAP'!B$16</f>
        <v>4.7247299999999992</v>
      </c>
      <c r="G1759" s="1">
        <f>'[1]Electricity and CHPs_CAP'!C$16</f>
        <v>4.8101489121740713</v>
      </c>
      <c r="H1759" s="1">
        <f>'[1]Electricity and CHPs_CAP'!D$16</f>
        <v>4.8612422841759129</v>
      </c>
      <c r="I1759" s="1">
        <f>'[1]Electricity and CHPs_CAP'!E$16</f>
        <v>4.8666190628085335</v>
      </c>
      <c r="J1759" s="1">
        <f>'[1]Electricity and CHPs_CAP'!F$16</f>
        <v>4.8666303376803803</v>
      </c>
      <c r="K1759" s="1">
        <f>'[1]Electricity and CHPs_CAP'!G$16</f>
        <v>4.9153656919948396</v>
      </c>
    </row>
    <row r="1760" spans="2:11" x14ac:dyDescent="0.25">
      <c r="B1760" s="5" t="str">
        <f t="shared" si="1057"/>
        <v>SPS3</v>
      </c>
      <c r="C1760" s="5" t="str">
        <f t="shared" si="1054"/>
        <v>CH</v>
      </c>
      <c r="D1760" t="s">
        <v>1796</v>
      </c>
      <c r="E1760" t="str">
        <f t="shared" si="1095"/>
        <v>GWe/yr.</v>
      </c>
      <c r="F1760" s="1">
        <f>'[1]Electricity and CHPs_CAP'!B$17</f>
        <v>3.3394499999999998</v>
      </c>
      <c r="G1760" s="1">
        <f>'[1]Electricity and CHPs_CAP'!C$17</f>
        <v>3.9713316431626704</v>
      </c>
      <c r="H1760" s="1">
        <f>'[1]Electricity and CHPs_CAP'!D$17</f>
        <v>4.3597527166940377</v>
      </c>
      <c r="I1760" s="1">
        <f>'[1]Electricity and CHPs_CAP'!E$17</f>
        <v>4.3597527413793671</v>
      </c>
      <c r="J1760" s="1">
        <f>'[1]Electricity and CHPs_CAP'!F$17</f>
        <v>4.3597528417258928</v>
      </c>
      <c r="K1760" s="1">
        <f>'[1]Electricity and CHPs_CAP'!G$17</f>
        <v>4.3597529205485435</v>
      </c>
    </row>
    <row r="1761" spans="2:11" x14ac:dyDescent="0.25">
      <c r="B1761" s="5" t="str">
        <f t="shared" si="1057"/>
        <v>SPS3</v>
      </c>
      <c r="C1761" s="5" t="str">
        <f>C1752</f>
        <v>CH</v>
      </c>
      <c r="D1761" t="s">
        <v>1797</v>
      </c>
      <c r="E1761" t="str">
        <f t="shared" si="1095"/>
        <v>GWe/yr.</v>
      </c>
      <c r="F1761" s="1">
        <f>SUM(F1762:F1764)</f>
        <v>2.46315529838344E-2</v>
      </c>
      <c r="G1761" s="1">
        <f t="shared" ref="G1761:K1761" si="1097">SUM(G1762:G1764)</f>
        <v>1.0077429553909705E-2</v>
      </c>
      <c r="H1761" s="1">
        <f t="shared" si="1097"/>
        <v>1.1179469640807177E-2</v>
      </c>
      <c r="I1761" s="1">
        <f t="shared" si="1097"/>
        <v>2.1744703553196031E-2</v>
      </c>
      <c r="J1761" s="1">
        <f t="shared" si="1097"/>
        <v>8.188468964816658E-3</v>
      </c>
      <c r="K1761" s="1">
        <f t="shared" si="1097"/>
        <v>2.1447939107371262E-3</v>
      </c>
    </row>
    <row r="1762" spans="2:11" x14ac:dyDescent="0.25">
      <c r="B1762" s="5" t="str">
        <f t="shared" si="1057"/>
        <v>SPS3</v>
      </c>
      <c r="C1762" s="5" t="str">
        <f>C1761</f>
        <v>CH</v>
      </c>
      <c r="D1762" t="s">
        <v>1798</v>
      </c>
      <c r="E1762" t="str">
        <f t="shared" si="1095"/>
        <v>GWe/yr.</v>
      </c>
      <c r="F1762" s="1">
        <f>'[1]Electricity and CHPs_CAP'!B$18</f>
        <v>1.3874213121936999E-2</v>
      </c>
      <c r="G1762" s="1">
        <f>'[1]Electricity and CHPs_CAP'!C$18</f>
        <v>1.9482535609231244E-3</v>
      </c>
      <c r="H1762" s="1">
        <f>'[1]Electricity and CHPs_CAP'!D$18</f>
        <v>1.9260487690769268E-3</v>
      </c>
      <c r="I1762" s="1">
        <f>'[1]Electricity and CHPs_CAP'!E$18</f>
        <v>1.9227615215302481E-3</v>
      </c>
      <c r="J1762" s="1">
        <f>'[1]Electricity and CHPs_CAP'!F$18</f>
        <v>2.3790760327730221E-3</v>
      </c>
      <c r="K1762" s="1">
        <f>'[1]Electricity and CHPs_CAP'!G$18</f>
        <v>4.9559627278734843E-4</v>
      </c>
    </row>
    <row r="1763" spans="2:11" x14ac:dyDescent="0.25">
      <c r="B1763" s="5" t="str">
        <f t="shared" si="1057"/>
        <v>SPS3</v>
      </c>
      <c r="C1763" s="5" t="str">
        <f t="shared" ref="B1763:C1764" si="1098">C1762</f>
        <v>CH</v>
      </c>
      <c r="D1763" t="s">
        <v>1799</v>
      </c>
      <c r="E1763" t="str">
        <f t="shared" si="1095"/>
        <v>GWe/yr.</v>
      </c>
      <c r="F1763" s="1">
        <f>'[1]Electricity and CHPs_CAP'!B$28</f>
        <v>2.4522776369963108E-3</v>
      </c>
      <c r="G1763" s="1">
        <f>'[1]Electricity and CHPs_CAP'!C$28</f>
        <v>8.5109432385128449E-4</v>
      </c>
      <c r="H1763" s="1">
        <f>'[1]Electricity and CHPs_CAP'!D$28</f>
        <v>7.6738043649116766E-4</v>
      </c>
      <c r="I1763" s="1">
        <f>'[1]Electricity and CHPs_CAP'!E$28</f>
        <v>5.5833402214932205E-4</v>
      </c>
      <c r="J1763" s="1">
        <f>'[1]Electricity and CHPs_CAP'!F$28</f>
        <v>2.2190822942678583E-4</v>
      </c>
      <c r="K1763" s="1">
        <f>'[1]Electricity and CHPs_CAP'!G$28</f>
        <v>1.0397755666687844E-4</v>
      </c>
    </row>
    <row r="1764" spans="2:11" x14ac:dyDescent="0.25">
      <c r="B1764" s="5" t="str">
        <f t="shared" si="1057"/>
        <v>SPS3</v>
      </c>
      <c r="C1764" s="5" t="str">
        <f t="shared" si="1098"/>
        <v>CH</v>
      </c>
      <c r="D1764" t="s">
        <v>1800</v>
      </c>
      <c r="E1764" t="str">
        <f t="shared" si="1095"/>
        <v>GWe/yr.</v>
      </c>
      <c r="F1764" s="1">
        <f>'[1]Electricity and CHPs_CAP'!B$41</f>
        <v>8.3050622249010893E-3</v>
      </c>
      <c r="G1764" s="1">
        <f>'[1]Electricity and CHPs_CAP'!C$41</f>
        <v>7.2780816691352963E-3</v>
      </c>
      <c r="H1764" s="1">
        <f>'[1]Electricity and CHPs_CAP'!D$41</f>
        <v>8.4860404352390829E-3</v>
      </c>
      <c r="I1764" s="1">
        <f>'[1]Electricity and CHPs_CAP'!E$41</f>
        <v>1.9263608009516462E-2</v>
      </c>
      <c r="J1764" s="1">
        <f>'[1]Electricity and CHPs_CAP'!F$41</f>
        <v>5.5874847026168495E-3</v>
      </c>
      <c r="K1764" s="1">
        <f>'[1]Electricity and CHPs_CAP'!G$41</f>
        <v>1.5452200812828992E-3</v>
      </c>
    </row>
    <row r="1765" spans="2:11" x14ac:dyDescent="0.25">
      <c r="B1765" s="5" t="str">
        <f t="shared" si="1057"/>
        <v>SPS3</v>
      </c>
      <c r="C1765" s="5" t="str">
        <f>C1764</f>
        <v>CH</v>
      </c>
      <c r="D1765" t="s">
        <v>1801</v>
      </c>
      <c r="E1765" t="str">
        <f t="shared" si="1095"/>
        <v>GWe/yr.</v>
      </c>
      <c r="F1765" s="1">
        <f>SUM(F1766:F1780)</f>
        <v>0.22437536653314416</v>
      </c>
      <c r="G1765" s="1">
        <f t="shared" ref="G1765:K1765" si="1099">SUM(G1766:G1780)</f>
        <v>0.40393383459696725</v>
      </c>
      <c r="H1765" s="1">
        <f t="shared" si="1099"/>
        <v>0.209574568895531</v>
      </c>
      <c r="I1765" s="1">
        <f t="shared" si="1099"/>
        <v>0.20277758784290345</v>
      </c>
      <c r="J1765" s="1">
        <f t="shared" si="1099"/>
        <v>0.3411853554737202</v>
      </c>
      <c r="K1765" s="1">
        <f t="shared" si="1099"/>
        <v>0.65038941747137979</v>
      </c>
    </row>
    <row r="1766" spans="2:11" x14ac:dyDescent="0.25">
      <c r="B1766" s="5" t="str">
        <f t="shared" si="1057"/>
        <v>SPS3</v>
      </c>
      <c r="C1766" s="5" t="str">
        <f t="shared" ref="B1766:C1779" si="1100">C1765</f>
        <v>CH</v>
      </c>
      <c r="D1766" t="s">
        <v>1802</v>
      </c>
      <c r="E1766" t="str">
        <f t="shared" si="1095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1.74019683607947E-3</v>
      </c>
      <c r="K1766" s="1">
        <f>'[1]Electricity and CHPs_CAP'!G$21</f>
        <v>1.7681895233889722E-3</v>
      </c>
    </row>
    <row r="1767" spans="2:11" x14ac:dyDescent="0.25">
      <c r="B1767" s="5" t="str">
        <f t="shared" si="1057"/>
        <v>SPS3</v>
      </c>
      <c r="C1767" s="5" t="str">
        <f t="shared" si="1100"/>
        <v>CH</v>
      </c>
      <c r="D1767" t="s">
        <v>1803</v>
      </c>
      <c r="E1767" t="str">
        <f t="shared" si="1095"/>
        <v>GWe/yr.</v>
      </c>
      <c r="F1767" s="1">
        <f>'[1]Electricity and CHPs_CAP'!B$22</f>
        <v>0</v>
      </c>
      <c r="G1767" s="1">
        <f>'[1]Electricity and CHPs_CAP'!C$22</f>
        <v>0.25000026415614302</v>
      </c>
      <c r="H1767" s="1">
        <f>'[1]Electricity and CHPs_CAP'!D$22</f>
        <v>0.11060189815445901</v>
      </c>
      <c r="I1767" s="1">
        <f>'[1]Electricity and CHPs_CAP'!E$22</f>
        <v>0.11059760332440599</v>
      </c>
      <c r="J1767" s="1">
        <f>'[1]Electricity and CHPs_CAP'!F$22</f>
        <v>0.11060925191533</v>
      </c>
      <c r="K1767" s="1">
        <f>'[1]Electricity and CHPs_CAP'!G$22</f>
        <v>3.5726788233336602E-2</v>
      </c>
    </row>
    <row r="1768" spans="2:11" x14ac:dyDescent="0.25">
      <c r="B1768" s="5" t="str">
        <f t="shared" si="1057"/>
        <v>SPS3</v>
      </c>
      <c r="C1768" s="5" t="str">
        <f t="shared" si="1100"/>
        <v>CH</v>
      </c>
      <c r="D1768" t="s">
        <v>1804</v>
      </c>
      <c r="E1768" t="str">
        <f t="shared" si="1095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3.0804233373459699E-4</v>
      </c>
      <c r="K1768" s="1">
        <f>'[1]Electricity and CHPs_CAP'!G$23</f>
        <v>0.19625414980248526</v>
      </c>
    </row>
    <row r="1769" spans="2:11" x14ac:dyDescent="0.25">
      <c r="B1769" s="5" t="str">
        <f t="shared" si="1057"/>
        <v>SPS3</v>
      </c>
      <c r="C1769" s="5" t="str">
        <f t="shared" si="1100"/>
        <v>CH</v>
      </c>
      <c r="D1769" t="s">
        <v>1805</v>
      </c>
      <c r="E1769" t="str">
        <f t="shared" si="1095"/>
        <v>GWe/yr.</v>
      </c>
      <c r="F1769" s="1">
        <f>'[1]Electricity and CHPs_CAP'!B$24</f>
        <v>4.7946760500070094E-2</v>
      </c>
      <c r="G1769" s="1">
        <f>'[1]Electricity and CHPs_CAP'!C$24</f>
        <v>3.4439462943097743E-4</v>
      </c>
      <c r="H1769" s="1">
        <f>'[1]Electricity and CHPs_CAP'!D$24</f>
        <v>3.9512934978215564E-4</v>
      </c>
      <c r="I1769" s="1">
        <f>'[1]Electricity and CHPs_CAP'!E$24</f>
        <v>3.6951635566855739E-4</v>
      </c>
      <c r="J1769" s="1">
        <f>'[1]Electricity and CHPs_CAP'!F$24</f>
        <v>9.9276291558587169E-3</v>
      </c>
      <c r="K1769" s="1">
        <f>'[1]Electricity and CHPs_CAP'!G$24</f>
        <v>1.7911114296436954E-4</v>
      </c>
    </row>
    <row r="1770" spans="2:11" x14ac:dyDescent="0.25">
      <c r="B1770" s="5" t="str">
        <f t="shared" si="1057"/>
        <v>SPS3</v>
      </c>
      <c r="C1770" s="5" t="str">
        <f t="shared" si="1100"/>
        <v>CH</v>
      </c>
      <c r="D1770" t="s">
        <v>1806</v>
      </c>
      <c r="E1770" t="str">
        <f t="shared" si="1095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1.5763984536623501E-2</v>
      </c>
      <c r="K1770" s="1">
        <f>'[1]Electricity and CHPs_CAP'!G$29</f>
        <v>4.9201696830089237E-2</v>
      </c>
    </row>
    <row r="1771" spans="2:11" x14ac:dyDescent="0.25">
      <c r="B1771" s="5" t="str">
        <f t="shared" si="1057"/>
        <v>SPS3</v>
      </c>
      <c r="C1771" s="5" t="str">
        <f t="shared" si="1100"/>
        <v>CH</v>
      </c>
      <c r="D1771" t="s">
        <v>1807</v>
      </c>
      <c r="E1771" t="str">
        <f t="shared" si="1095"/>
        <v>GWe/yr.</v>
      </c>
      <c r="F1771" s="1">
        <f>'[1]Electricity and CHPs_CAP'!B$39</f>
        <v>2.5117966952896302E-2</v>
      </c>
      <c r="G1771" s="1">
        <f>'[1]Electricity and CHPs_CAP'!C$39</f>
        <v>1.8577281190275095E-2</v>
      </c>
      <c r="H1771" s="1">
        <f>'[1]Electricity and CHPs_CAP'!D$39</f>
        <v>1.1826404423044654E-2</v>
      </c>
      <c r="I1771" s="1">
        <f>'[1]Electricity and CHPs_CAP'!E$39</f>
        <v>5.6153052485151279E-3</v>
      </c>
      <c r="J1771" s="1">
        <f>'[1]Electricity and CHPs_CAP'!F$39</f>
        <v>1.3452822619367099E-3</v>
      </c>
      <c r="K1771" s="1">
        <f>'[1]Electricity and CHPs_CAP'!G$39</f>
        <v>1.1956578713008129E-3</v>
      </c>
    </row>
    <row r="1772" spans="2:11" x14ac:dyDescent="0.25">
      <c r="B1772" s="5" t="str">
        <f t="shared" si="1057"/>
        <v>SPS3</v>
      </c>
      <c r="C1772" s="5" t="str">
        <f t="shared" si="1100"/>
        <v>CH</v>
      </c>
      <c r="D1772" t="s">
        <v>1808</v>
      </c>
      <c r="E1772" t="str">
        <f t="shared" si="1095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1.8080357261686299E-4</v>
      </c>
      <c r="K1772" s="1">
        <f>'[1]Electricity and CHPs_CAP'!G$40</f>
        <v>4.0209865971632387E-4</v>
      </c>
    </row>
    <row r="1773" spans="2:11" x14ac:dyDescent="0.25">
      <c r="B1773" s="5" t="str">
        <f t="shared" si="1057"/>
        <v>SPS3</v>
      </c>
      <c r="C1773" s="5" t="str">
        <f t="shared" si="1100"/>
        <v>CH</v>
      </c>
      <c r="D1773" t="s">
        <v>1809</v>
      </c>
      <c r="E1773" t="str">
        <f t="shared" si="1095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9.8693684893964999E-5</v>
      </c>
      <c r="J1773" s="1">
        <f>'[1]Electricity and CHPs_CAP'!F$47</f>
        <v>2.1922099564119273E-4</v>
      </c>
      <c r="K1773" s="1">
        <f>'[1]Electricity and CHPs_CAP'!G$47</f>
        <v>0.19271050322366803</v>
      </c>
    </row>
    <row r="1774" spans="2:11" x14ac:dyDescent="0.25">
      <c r="B1774" s="5" t="str">
        <f t="shared" si="1057"/>
        <v>SPS3</v>
      </c>
      <c r="C1774" s="5" t="str">
        <f t="shared" si="1100"/>
        <v>CH</v>
      </c>
      <c r="D1774" t="s">
        <v>1810</v>
      </c>
      <c r="E1774" t="str">
        <f t="shared" si="1095"/>
        <v>GWe/yr.</v>
      </c>
      <c r="F1774" s="1">
        <f>'[1]Electricity and CHPs_CAP'!B$48</f>
        <v>4.1737138083724366E-3</v>
      </c>
      <c r="G1774" s="1">
        <f>'[1]Electricity and CHPs_CAP'!C$48</f>
        <v>1.8640050675076813E-3</v>
      </c>
      <c r="H1774" s="1">
        <f>'[1]Electricity and CHPs_CAP'!D$48</f>
        <v>1.0171159095463493E-3</v>
      </c>
      <c r="I1774" s="1">
        <f>'[1]Electricity and CHPs_CAP'!E$48</f>
        <v>5.0253258845095504E-4</v>
      </c>
      <c r="J1774" s="1">
        <f>'[1]Electricity and CHPs_CAP'!F$48</f>
        <v>5.0996798550201154E-4</v>
      </c>
      <c r="K1774" s="1">
        <f>'[1]Electricity and CHPs_CAP'!G$48</f>
        <v>2.719202396366812E-4</v>
      </c>
    </row>
    <row r="1775" spans="2:11" x14ac:dyDescent="0.25">
      <c r="B1775" s="5" t="str">
        <f t="shared" si="1057"/>
        <v>SPS3</v>
      </c>
      <c r="C1775" s="5" t="str">
        <f t="shared" si="1100"/>
        <v>CH</v>
      </c>
      <c r="D1775" t="s">
        <v>1811</v>
      </c>
      <c r="E1775" t="str">
        <f t="shared" si="1095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2.50338335379556E-5</v>
      </c>
      <c r="J1775" s="1">
        <f>'[1]Electricity and CHPs_CAP'!F$49</f>
        <v>8.842677858821431E-5</v>
      </c>
      <c r="K1775" s="1">
        <f>'[1]Electricity and CHPs_CAP'!G$49</f>
        <v>7.5748715570643762E-5</v>
      </c>
    </row>
    <row r="1776" spans="2:11" x14ac:dyDescent="0.25">
      <c r="B1776" s="5" t="str">
        <f t="shared" si="1057"/>
        <v>SPS3</v>
      </c>
      <c r="C1776" s="5" t="str">
        <f t="shared" si="1100"/>
        <v>CH</v>
      </c>
      <c r="D1776" t="s">
        <v>1812</v>
      </c>
      <c r="E1776" t="str">
        <f t="shared" si="1095"/>
        <v>GWe/yr.</v>
      </c>
      <c r="F1776" s="1">
        <f>'[1]Electricity and CHPs_CAP'!B$51</f>
        <v>8.4244751240739012E-3</v>
      </c>
      <c r="G1776" s="1">
        <f>'[1]Electricity and CHPs_CAP'!C$51</f>
        <v>5.241094364849462E-4</v>
      </c>
      <c r="H1776" s="1">
        <f>'[1]Electricity and CHPs_CAP'!D$51</f>
        <v>6.1895072212855688E-4</v>
      </c>
      <c r="I1776" s="1">
        <f>'[1]Electricity and CHPs_CAP'!E$51</f>
        <v>6.2104503074456193E-4</v>
      </c>
      <c r="J1776" s="1">
        <f>'[1]Electricity and CHPs_CAP'!F$51</f>
        <v>0.11061772857294633</v>
      </c>
      <c r="K1776" s="1">
        <f>'[1]Electricity and CHPs_CAP'!G$51</f>
        <v>6.7985890889316003E-2</v>
      </c>
    </row>
    <row r="1777" spans="2:11" x14ac:dyDescent="0.25">
      <c r="B1777" s="5" t="str">
        <f t="shared" si="1057"/>
        <v>SPS3</v>
      </c>
      <c r="C1777" s="5" t="str">
        <f t="shared" si="1100"/>
        <v>CH</v>
      </c>
      <c r="D1777" t="s">
        <v>1813</v>
      </c>
      <c r="E1777" t="str">
        <f t="shared" si="1095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7.6729446582461891E-5</v>
      </c>
      <c r="J1777" s="1">
        <f>'[1]Electricity and CHPs_CAP'!F$52</f>
        <v>4.2750384595473126E-3</v>
      </c>
      <c r="K1777" s="1">
        <f>'[1]Electricity and CHPs_CAP'!G$52</f>
        <v>1.6165093789209273E-2</v>
      </c>
    </row>
    <row r="1778" spans="2:11" x14ac:dyDescent="0.25">
      <c r="B1778" s="5" t="str">
        <f t="shared" si="1057"/>
        <v>SPS3</v>
      </c>
      <c r="C1778" s="5" t="str">
        <f t="shared" si="1100"/>
        <v>CH</v>
      </c>
      <c r="D1778" t="s">
        <v>1814</v>
      </c>
      <c r="E1778" t="str">
        <f t="shared" si="1095"/>
        <v>GWe/yr.</v>
      </c>
      <c r="F1778" s="1">
        <f>'[1]Electricity and CHPs_CAP'!B$54</f>
        <v>7.3512689615701898E-2</v>
      </c>
      <c r="G1778" s="1">
        <f>'[1]Electricity and CHPs_CAP'!C$54</f>
        <v>8.4746869931111635E-2</v>
      </c>
      <c r="H1778" s="1">
        <f>'[1]Electricity and CHPs_CAP'!D$54</f>
        <v>8.4746542624634852E-2</v>
      </c>
      <c r="I1778" s="1">
        <f>'[1]Electricity and CHPs_CAP'!E$54</f>
        <v>8.4748062415430106E-2</v>
      </c>
      <c r="J1778" s="1">
        <f>'[1]Electricity and CHPs_CAP'!F$54</f>
        <v>8.4760575417151596E-2</v>
      </c>
      <c r="K1778" s="1">
        <f>'[1]Electricity and CHPs_CAP'!G$54</f>
        <v>8.4760548863335616E-2</v>
      </c>
    </row>
    <row r="1779" spans="2:11" x14ac:dyDescent="0.25">
      <c r="B1779" s="5" t="str">
        <f t="shared" si="1057"/>
        <v>SPS3</v>
      </c>
      <c r="C1779" s="5" t="str">
        <f t="shared" si="1100"/>
        <v>CH</v>
      </c>
      <c r="D1779" t="s">
        <v>1815</v>
      </c>
      <c r="E1779" t="str">
        <f t="shared" si="1095"/>
        <v>GWe/yr.</v>
      </c>
      <c r="F1779" s="1">
        <f>'[1]Electricity and CHPs_CAP'!B$55</f>
        <v>6.5199760532029513E-2</v>
      </c>
      <c r="G1779" s="1">
        <f>'[1]Electricity and CHPs_CAP'!C$55</f>
        <v>4.7876910186013907E-2</v>
      </c>
      <c r="H1779" s="1">
        <f>'[1]Electricity and CHPs_CAP'!D$55</f>
        <v>3.6852771193539996E-4</v>
      </c>
      <c r="I1779" s="1">
        <f>'[1]Electricity and CHPs_CAP'!E$55</f>
        <v>8.9082252831704234E-5</v>
      </c>
      <c r="J1779" s="1">
        <f>'[1]Electricity and CHPs_CAP'!F$55</f>
        <v>4.5912213261839994E-4</v>
      </c>
      <c r="K1779" s="1">
        <f>'[1]Electricity and CHPs_CAP'!G$55</f>
        <v>6.0112639931831019E-5</v>
      </c>
    </row>
    <row r="1780" spans="2:11" x14ac:dyDescent="0.25">
      <c r="B1780" s="5" t="str">
        <f t="shared" ref="B1780:B1843" si="1101">B1779</f>
        <v>SPS3</v>
      </c>
      <c r="C1780" s="5" t="str">
        <f t="shared" ref="B1780:C1780" si="1102">C1779</f>
        <v>CH</v>
      </c>
      <c r="D1780" t="s">
        <v>1816</v>
      </c>
      <c r="E1780" t="str">
        <f t="shared" si="1095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3.3983661842030599E-5</v>
      </c>
      <c r="J1780" s="1">
        <f>'[1]Electricity and CHPs_CAP'!F$58</f>
        <v>3.8008451954531008E-4</v>
      </c>
      <c r="K1780" s="1">
        <f>'[1]Electricity and CHPs_CAP'!G$58</f>
        <v>3.6319070474300757E-3</v>
      </c>
    </row>
    <row r="1781" spans="2:11" x14ac:dyDescent="0.25">
      <c r="B1781" s="5" t="str">
        <f t="shared" si="1101"/>
        <v>SPS3</v>
      </c>
      <c r="C1781" s="5" t="str">
        <f>C1780</f>
        <v>CH</v>
      </c>
      <c r="D1781" t="s">
        <v>1817</v>
      </c>
      <c r="E1781" t="str">
        <f t="shared" si="1095"/>
        <v>GWe/yr.</v>
      </c>
      <c r="F1781" s="1">
        <f>SUM(F1782:F1787)</f>
        <v>0.3991277636939532</v>
      </c>
      <c r="G1781" s="1">
        <f t="shared" ref="G1781:K1781" si="1103">SUM(G1782:G1787)</f>
        <v>0.35927147231389711</v>
      </c>
      <c r="H1781" s="1">
        <f t="shared" si="1103"/>
        <v>0.36263252398754142</v>
      </c>
      <c r="I1781" s="1">
        <f t="shared" si="1103"/>
        <v>0.36469376563963657</v>
      </c>
      <c r="J1781" s="1">
        <f t="shared" si="1103"/>
        <v>0.39256605121091748</v>
      </c>
      <c r="K1781" s="1">
        <f t="shared" si="1103"/>
        <v>0.5020264632840532</v>
      </c>
    </row>
    <row r="1782" spans="2:11" x14ac:dyDescent="0.25">
      <c r="B1782" s="5" t="str">
        <f t="shared" si="1101"/>
        <v>SPS3</v>
      </c>
      <c r="C1782" s="5" t="str">
        <f t="shared" ref="B1782:C1787" si="1104">C1781</f>
        <v>CH</v>
      </c>
      <c r="D1782" t="s">
        <v>1818</v>
      </c>
      <c r="E1782" t="str">
        <f t="shared" si="1095"/>
        <v>GWe/yr.</v>
      </c>
      <c r="F1782" s="1">
        <f>'[1]Electricity and CHPs_CAP'!B$19</f>
        <v>0.27314367264409611</v>
      </c>
      <c r="G1782" s="1">
        <f>'[1]Electricity and CHPs_CAP'!C$19</f>
        <v>0.27313977799607519</v>
      </c>
      <c r="H1782" s="1">
        <f>'[1]Electricity and CHPs_CAP'!D$19</f>
        <v>0.27650256893446723</v>
      </c>
      <c r="I1782" s="1">
        <f>'[1]Electricity and CHPs_CAP'!E$19</f>
        <v>0.27935960996871589</v>
      </c>
      <c r="J1782" s="1">
        <f>'[1]Electricity and CHPs_CAP'!F$19</f>
        <v>0.30292051521480207</v>
      </c>
      <c r="K1782" s="1">
        <f>'[1]Electricity and CHPs_CAP'!G$19</f>
        <v>0.19163442595018321</v>
      </c>
    </row>
    <row r="1783" spans="2:11" x14ac:dyDescent="0.25">
      <c r="B1783" s="5" t="str">
        <f t="shared" si="1101"/>
        <v>SPS3</v>
      </c>
      <c r="C1783" s="5" t="str">
        <f t="shared" si="1104"/>
        <v>CH</v>
      </c>
      <c r="D1783" t="s">
        <v>1819</v>
      </c>
      <c r="E1783" t="str">
        <f t="shared" si="1095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2.1947951537641501E-4</v>
      </c>
      <c r="K1783" s="1">
        <f>'[1]Electricity and CHPs_CAP'!G$20</f>
        <v>0.16579075736138799</v>
      </c>
    </row>
    <row r="1784" spans="2:11" x14ac:dyDescent="0.25">
      <c r="B1784" s="5" t="str">
        <f t="shared" si="1101"/>
        <v>SPS3</v>
      </c>
      <c r="C1784" s="5" t="str">
        <f t="shared" si="1104"/>
        <v>CH</v>
      </c>
      <c r="D1784" t="s">
        <v>1820</v>
      </c>
      <c r="E1784" t="str">
        <f t="shared" si="1095"/>
        <v>GWe/yr.</v>
      </c>
      <c r="F1784" s="1">
        <f>'[1]Electricity and CHPs_CAP'!B$26</f>
        <v>7.6766427473454538E-2</v>
      </c>
      <c r="G1784" s="1">
        <f>'[1]Electricity and CHPs_CAP'!C$26</f>
        <v>7.2062184607514873E-2</v>
      </c>
      <c r="H1784" s="1">
        <f>'[1]Electricity and CHPs_CAP'!D$26</f>
        <v>7.2061215995848263E-2</v>
      </c>
      <c r="I1784" s="1">
        <f>'[1]Electricity and CHPs_CAP'!E$26</f>
        <v>7.1350031134689421E-2</v>
      </c>
      <c r="J1784" s="1">
        <f>'[1]Electricity and CHPs_CAP'!F$26</f>
        <v>7.0046345494558307E-2</v>
      </c>
      <c r="K1784" s="1">
        <f>'[1]Electricity and CHPs_CAP'!G$26</f>
        <v>4.1802256710816686E-2</v>
      </c>
    </row>
    <row r="1785" spans="2:11" x14ac:dyDescent="0.25">
      <c r="B1785" s="5" t="str">
        <f t="shared" si="1101"/>
        <v>SPS3</v>
      </c>
      <c r="C1785" s="5" t="str">
        <f t="shared" si="1104"/>
        <v>CH</v>
      </c>
      <c r="D1785" t="s">
        <v>1821</v>
      </c>
      <c r="E1785" t="str">
        <f t="shared" si="1095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6.6487824539326995E-5</v>
      </c>
      <c r="K1785" s="1">
        <f>'[1]Electricity and CHPs_CAP'!G$27</f>
        <v>4.2980303651004713E-2</v>
      </c>
    </row>
    <row r="1786" spans="2:11" x14ac:dyDescent="0.25">
      <c r="B1786" s="5" t="str">
        <f t="shared" si="1101"/>
        <v>SPS3</v>
      </c>
      <c r="C1786" s="5" t="str">
        <f t="shared" si="1104"/>
        <v>CH</v>
      </c>
      <c r="D1786" t="s">
        <v>1822</v>
      </c>
      <c r="E1786" t="str">
        <f t="shared" si="1095"/>
        <v>GWe/yr.</v>
      </c>
      <c r="F1786" s="1">
        <f>'[1]Electricity and CHPs_CAP'!B$44</f>
        <v>4.9217663576402532E-2</v>
      </c>
      <c r="G1786" s="1">
        <f>'[1]Electricity and CHPs_CAP'!C$44</f>
        <v>1.4069509710307078E-2</v>
      </c>
      <c r="H1786" s="1">
        <f>'[1]Electricity and CHPs_CAP'!D$44</f>
        <v>1.4068739057225915E-2</v>
      </c>
      <c r="I1786" s="1">
        <f>'[1]Electricity and CHPs_CAP'!E$44</f>
        <v>1.3984124536231247E-2</v>
      </c>
      <c r="J1786" s="1">
        <f>'[1]Electricity and CHPs_CAP'!F$44</f>
        <v>1.2592427340860576E-2</v>
      </c>
      <c r="K1786" s="1">
        <f>'[1]Electricity and CHPs_CAP'!G$44</f>
        <v>3.2988824933190969E-4</v>
      </c>
    </row>
    <row r="1787" spans="2:11" x14ac:dyDescent="0.25">
      <c r="B1787" s="5" t="str">
        <f t="shared" si="1101"/>
        <v>SPS3</v>
      </c>
      <c r="C1787" s="5" t="str">
        <f t="shared" si="1104"/>
        <v>CH</v>
      </c>
      <c r="D1787" t="s">
        <v>1823</v>
      </c>
      <c r="E1787" t="str">
        <f t="shared" si="1095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6.7207958207808E-3</v>
      </c>
      <c r="K1787" s="1">
        <f>'[1]Electricity and CHPs_CAP'!G$45</f>
        <v>5.9488831361328764E-2</v>
      </c>
    </row>
    <row r="1788" spans="2:11" x14ac:dyDescent="0.25">
      <c r="B1788" s="5" t="str">
        <f t="shared" si="1101"/>
        <v>SPS3</v>
      </c>
      <c r="C1788" s="5" t="str">
        <f>C1787</f>
        <v>CH</v>
      </c>
      <c r="D1788" t="s">
        <v>1824</v>
      </c>
      <c r="E1788" t="str">
        <f t="shared" si="1095"/>
        <v>GWe/yr.</v>
      </c>
      <c r="F1788" s="1">
        <f>SUM(F1789:F1795)</f>
        <v>2.1263134078771888E-2</v>
      </c>
      <c r="G1788" s="1">
        <f t="shared" ref="G1788:K1788" si="1105">SUM(G1789:G1795)</f>
        <v>2.1147444787269914E-2</v>
      </c>
      <c r="H1788" s="1">
        <f t="shared" si="1105"/>
        <v>4.3263743567857185E-2</v>
      </c>
      <c r="I1788" s="1">
        <f t="shared" si="1105"/>
        <v>8.1930520588134215E-2</v>
      </c>
      <c r="J1788" s="1">
        <f t="shared" si="1105"/>
        <v>0.21821958238256406</v>
      </c>
      <c r="K1788" s="1">
        <f t="shared" si="1105"/>
        <v>0.31013558847856626</v>
      </c>
    </row>
    <row r="1789" spans="2:11" x14ac:dyDescent="0.25">
      <c r="B1789" s="5" t="str">
        <f t="shared" si="1101"/>
        <v>SPS3</v>
      </c>
      <c r="C1789" s="5" t="str">
        <f t="shared" ref="B1789:C1799" si="1106">C1788</f>
        <v>CH</v>
      </c>
      <c r="D1789" t="s">
        <v>1825</v>
      </c>
      <c r="E1789" t="str">
        <f t="shared" si="1095"/>
        <v>GWe/yr.</v>
      </c>
      <c r="F1789" s="1">
        <f>'[1]Electricity and CHPs_CAP'!B$25</f>
        <v>1.4715606660582699E-2</v>
      </c>
      <c r="G1789" s="1">
        <f>'[1]Electricity and CHPs_CAP'!C$25</f>
        <v>1.8614014920212141E-3</v>
      </c>
      <c r="H1789" s="1">
        <f>'[1]Electricity and CHPs_CAP'!D$25</f>
        <v>1.3631211483497094E-3</v>
      </c>
      <c r="I1789" s="1">
        <f>'[1]Electricity and CHPs_CAP'!E$25</f>
        <v>1.3759979895450782E-3</v>
      </c>
      <c r="J1789" s="1">
        <f>'[1]Electricity and CHPs_CAP'!F$25</f>
        <v>7.9198125220301785E-2</v>
      </c>
      <c r="K1789" s="1">
        <f>'[1]Electricity and CHPs_CAP'!G$25</f>
        <v>0.10210916953950809</v>
      </c>
    </row>
    <row r="1790" spans="2:11" x14ac:dyDescent="0.25">
      <c r="B1790" s="5" t="str">
        <f t="shared" si="1101"/>
        <v>SPS3</v>
      </c>
      <c r="C1790" s="5" t="str">
        <f t="shared" si="1106"/>
        <v>CH</v>
      </c>
      <c r="D1790" t="s">
        <v>1826</v>
      </c>
      <c r="E1790" t="str">
        <f t="shared" si="1095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8.4137599637217793E-5</v>
      </c>
      <c r="K1790" s="1">
        <f>'[1]Electricity and CHPs_CAP'!G$31</f>
        <v>4.3686697031884665E-2</v>
      </c>
    </row>
    <row r="1791" spans="2:11" x14ac:dyDescent="0.25">
      <c r="B1791" s="5" t="str">
        <f t="shared" si="1101"/>
        <v>SPS3</v>
      </c>
      <c r="C1791" s="5" t="str">
        <f t="shared" si="1106"/>
        <v>CH</v>
      </c>
      <c r="D1791" t="s">
        <v>1827</v>
      </c>
      <c r="E1791" t="str">
        <f t="shared" si="1095"/>
        <v>GWe/yr.</v>
      </c>
      <c r="F1791" s="1">
        <f>'[1]Electricity and CHPs_CAP'!B$42</f>
        <v>6.5475274181891908E-3</v>
      </c>
      <c r="G1791" s="1">
        <f>'[1]Electricity and CHPs_CAP'!C$42</f>
        <v>1.92860432952487E-2</v>
      </c>
      <c r="H1791" s="1">
        <f>'[1]Electricity and CHPs_CAP'!D$42</f>
        <v>4.1900622419507476E-2</v>
      </c>
      <c r="I1791" s="1">
        <f>'[1]Electricity and CHPs_CAP'!E$42</f>
        <v>7.9898235382418137E-2</v>
      </c>
      <c r="J1791" s="1">
        <f>'[1]Electricity and CHPs_CAP'!F$42</f>
        <v>9.1449654973071309E-2</v>
      </c>
      <c r="K1791" s="1">
        <f>'[1]Electricity and CHPs_CAP'!G$42</f>
        <v>2.9531321171605757E-2</v>
      </c>
    </row>
    <row r="1792" spans="2:11" x14ac:dyDescent="0.25">
      <c r="B1792" s="5" t="str">
        <f t="shared" si="1101"/>
        <v>SPS3</v>
      </c>
      <c r="C1792" s="5" t="str">
        <f t="shared" si="1106"/>
        <v>CH</v>
      </c>
      <c r="D1792" t="s">
        <v>1828</v>
      </c>
      <c r="E1792" t="str">
        <f t="shared" si="1095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4.6920687888740702E-2</v>
      </c>
      <c r="K1792" s="1">
        <f>'[1]Electricity and CHPs_CAP'!G$43</f>
        <v>0.13453721463048901</v>
      </c>
    </row>
    <row r="1793" spans="2:11" x14ac:dyDescent="0.25">
      <c r="B1793" s="5" t="str">
        <f t="shared" si="1101"/>
        <v>SPS3</v>
      </c>
      <c r="C1793" s="5" t="str">
        <f t="shared" si="1106"/>
        <v>CH</v>
      </c>
      <c r="D1793" t="s">
        <v>1829</v>
      </c>
      <c r="E1793" t="str">
        <f t="shared" si="1095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1.5582363815936829E-4</v>
      </c>
      <c r="J1793" s="1">
        <f>'[1]Electricity and CHPs_CAP'!F$50</f>
        <v>1.4573180299969345E-4</v>
      </c>
      <c r="K1793" s="1">
        <f>'[1]Electricity and CHPs_CAP'!G$50</f>
        <v>7.9084682025342822E-5</v>
      </c>
    </row>
    <row r="1794" spans="2:11" x14ac:dyDescent="0.25">
      <c r="B1794" s="5" t="str">
        <f t="shared" si="1101"/>
        <v>SPS3</v>
      </c>
      <c r="C1794" s="5" t="str">
        <f t="shared" si="1106"/>
        <v>CH</v>
      </c>
      <c r="D1794" t="s">
        <v>1830</v>
      </c>
      <c r="E1794" t="str">
        <f t="shared" si="1095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4.25455766810196E-4</v>
      </c>
      <c r="J1794" s="1">
        <f>'[1]Electricity and CHPs_CAP'!F$53</f>
        <v>2.9700171693154904E-4</v>
      </c>
      <c r="K1794" s="1">
        <f>'[1]Electricity and CHPs_CAP'!G$53</f>
        <v>1.4118426224442988E-4</v>
      </c>
    </row>
    <row r="1795" spans="2:11" x14ac:dyDescent="0.25">
      <c r="B1795" s="5" t="str">
        <f t="shared" si="1101"/>
        <v>SPS3</v>
      </c>
      <c r="C1795" s="5" t="str">
        <f t="shared" si="1106"/>
        <v>CH</v>
      </c>
      <c r="D1795" t="s">
        <v>1831</v>
      </c>
      <c r="E1795" t="str">
        <f t="shared" si="1095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7.5007811201445205E-5</v>
      </c>
      <c r="J1795" s="1">
        <f>'[1]Electricity and CHPs_CAP'!F$56</f>
        <v>1.2424318088179016E-4</v>
      </c>
      <c r="K1795" s="1">
        <f>'[1]Electricity and CHPs_CAP'!G$56</f>
        <v>5.0917160808978289E-5</v>
      </c>
    </row>
    <row r="1796" spans="2:11" x14ac:dyDescent="0.25">
      <c r="B1796" s="5" t="str">
        <f t="shared" si="1101"/>
        <v>SPS3</v>
      </c>
      <c r="C1796" s="5" t="str">
        <f t="shared" si="1106"/>
        <v>CH</v>
      </c>
      <c r="D1796" t="s">
        <v>1832</v>
      </c>
      <c r="E1796" t="str">
        <f t="shared" si="1095"/>
        <v>GWe/yr.</v>
      </c>
      <c r="F1796" s="1">
        <f>F1797</f>
        <v>8.7120000000000003E-2</v>
      </c>
      <c r="G1796" s="1">
        <f t="shared" ref="G1796:K1796" si="1107">G1797</f>
        <v>9.0660039936760403E-2</v>
      </c>
      <c r="H1796" s="1">
        <f t="shared" si="1107"/>
        <v>8.3666124907950584E-2</v>
      </c>
      <c r="I1796" s="1">
        <f t="shared" si="1107"/>
        <v>0.1809268523840783</v>
      </c>
      <c r="J1796" s="1">
        <f t="shared" si="1107"/>
        <v>0.50875649399559264</v>
      </c>
      <c r="K1796" s="1">
        <f t="shared" si="1107"/>
        <v>1.01750881979439</v>
      </c>
    </row>
    <row r="1797" spans="2:11" x14ac:dyDescent="0.25">
      <c r="B1797" s="5" t="str">
        <f t="shared" si="1101"/>
        <v>SPS3</v>
      </c>
      <c r="C1797" s="5" t="str">
        <f t="shared" si="1106"/>
        <v>CH</v>
      </c>
      <c r="D1797" t="s">
        <v>1833</v>
      </c>
      <c r="E1797" t="str">
        <f t="shared" si="1095"/>
        <v>GWe/yr.</v>
      </c>
      <c r="F1797" s="1">
        <f>'[1]Electricity and CHPs_CAP'!B$33</f>
        <v>8.7120000000000003E-2</v>
      </c>
      <c r="G1797" s="1">
        <f>'[1]Electricity and CHPs_CAP'!C$33</f>
        <v>9.0660039936760403E-2</v>
      </c>
      <c r="H1797" s="1">
        <f>'[1]Electricity and CHPs_CAP'!D$33</f>
        <v>8.3666124907950584E-2</v>
      </c>
      <c r="I1797" s="1">
        <f>'[1]Electricity and CHPs_CAP'!E$33</f>
        <v>0.1809268523840783</v>
      </c>
      <c r="J1797" s="1">
        <f>'[1]Electricity and CHPs_CAP'!F$33</f>
        <v>0.50875649399559264</v>
      </c>
      <c r="K1797" s="1">
        <f>'[1]Electricity and CHPs_CAP'!G$33</f>
        <v>1.01750881979439</v>
      </c>
    </row>
    <row r="1798" spans="2:11" x14ac:dyDescent="0.25">
      <c r="B1798" s="5" t="str">
        <f t="shared" si="1101"/>
        <v>SPS3</v>
      </c>
      <c r="C1798" s="5" t="str">
        <f t="shared" si="1106"/>
        <v>CH</v>
      </c>
      <c r="D1798" t="s">
        <v>1834</v>
      </c>
      <c r="E1798" t="str">
        <f t="shared" si="1095"/>
        <v>GWe/yr.</v>
      </c>
      <c r="F1798" s="1">
        <f>SUM(F1799:F1803)</f>
        <v>2.9746549999999998</v>
      </c>
      <c r="G1798" s="1">
        <f t="shared" ref="G1798:K1798" si="1108">SUM(G1799:G1803)</f>
        <v>4.3709091086037901</v>
      </c>
      <c r="H1798" s="1">
        <f t="shared" si="1108"/>
        <v>9.1888932312447515</v>
      </c>
      <c r="I1798" s="1">
        <f t="shared" si="1108"/>
        <v>18.363375965704556</v>
      </c>
      <c r="J1798" s="1">
        <f t="shared" si="1108"/>
        <v>22.818307231608003</v>
      </c>
      <c r="K1798" s="1">
        <f t="shared" si="1108"/>
        <v>25.949149314319918</v>
      </c>
    </row>
    <row r="1799" spans="2:11" x14ac:dyDescent="0.25">
      <c r="B1799" s="5" t="str">
        <f t="shared" si="1101"/>
        <v>SPS3</v>
      </c>
      <c r="C1799" s="5" t="str">
        <f t="shared" si="1106"/>
        <v>CH</v>
      </c>
      <c r="D1799" t="s">
        <v>1835</v>
      </c>
      <c r="E1799" t="str">
        <f t="shared" si="1095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4.49234946921786E-2</v>
      </c>
      <c r="I1799" s="1">
        <f>'[1]Electricity and CHPs_CAP'!E$34</f>
        <v>1.3978729866757316</v>
      </c>
      <c r="J1799" s="1">
        <f>'[1]Electricity and CHPs_CAP'!F$34</f>
        <v>1.3986103279628292</v>
      </c>
      <c r="K1799" s="1">
        <f>'[1]Electricity and CHPs_CAP'!G$34</f>
        <v>1.3373083277805895</v>
      </c>
    </row>
    <row r="1800" spans="2:11" x14ac:dyDescent="0.25">
      <c r="B1800" s="5" t="str">
        <f t="shared" si="1101"/>
        <v>SPS3</v>
      </c>
      <c r="C1800" s="5" t="str">
        <f t="shared" ref="B1800:C1815" si="1109">C1799</f>
        <v>CH</v>
      </c>
      <c r="D1800" t="s">
        <v>1836</v>
      </c>
      <c r="E1800" t="str">
        <f t="shared" si="1095"/>
        <v>GWe/yr.</v>
      </c>
      <c r="F1800" s="1">
        <f>'[1]Electricity and CHPs_CAP'!B$35</f>
        <v>1.1186210000000001</v>
      </c>
      <c r="G1800" s="1">
        <f>'[1]Electricity and CHPs_CAP'!C$35</f>
        <v>1.6529270830895668</v>
      </c>
      <c r="H1800" s="1">
        <f>'[1]Electricity and CHPs_CAP'!D$35</f>
        <v>3.0611843298404802</v>
      </c>
      <c r="I1800" s="1">
        <f>'[1]Electricity and CHPs_CAP'!E$35</f>
        <v>5.1146859061774101</v>
      </c>
      <c r="J1800" s="1">
        <f>'[1]Electricity and CHPs_CAP'!F$35</f>
        <v>9.5596733590924874</v>
      </c>
      <c r="K1800" s="1">
        <f>'[1]Electricity and CHPs_CAP'!G$35</f>
        <v>14.7066684691757</v>
      </c>
    </row>
    <row r="1801" spans="2:11" x14ac:dyDescent="0.25">
      <c r="B1801" s="5" t="str">
        <f t="shared" si="1101"/>
        <v>SPS3</v>
      </c>
      <c r="C1801" s="5" t="str">
        <f t="shared" si="1109"/>
        <v>CH</v>
      </c>
      <c r="D1801" t="s">
        <v>1837</v>
      </c>
      <c r="E1801" t="str">
        <f t="shared" si="1095"/>
        <v>GWe/yr.</v>
      </c>
      <c r="F1801" s="1">
        <f>'[1]Electricity and CHPs_CAP'!B$36</f>
        <v>0.67885700000000004</v>
      </c>
      <c r="G1801" s="1">
        <f>'[1]Electricity and CHPs_CAP'!C$36</f>
        <v>1.1559163066676241</v>
      </c>
      <c r="H1801" s="1">
        <f>'[1]Electricity and CHPs_CAP'!D$36</f>
        <v>2.5678648334549488</v>
      </c>
      <c r="I1801" s="1">
        <f>'[1]Electricity and CHPs_CAP'!E$36</f>
        <v>4.0611127163292116</v>
      </c>
      <c r="J1801" s="1">
        <f>'[1]Electricity and CHPs_CAP'!F$36</f>
        <v>3.2553315767201831</v>
      </c>
      <c r="K1801" s="1">
        <f>'[1]Electricity and CHPs_CAP'!G$36</f>
        <v>0.40023335150746636</v>
      </c>
    </row>
    <row r="1802" spans="2:11" x14ac:dyDescent="0.25">
      <c r="B1802" s="5" t="str">
        <f t="shared" si="1101"/>
        <v>SPS3</v>
      </c>
      <c r="C1802" s="5" t="str">
        <f t="shared" si="1109"/>
        <v>CH</v>
      </c>
      <c r="D1802" t="s">
        <v>1838</v>
      </c>
      <c r="E1802" t="str">
        <f t="shared" si="1095"/>
        <v>GWe/yr.</v>
      </c>
      <c r="F1802" s="1">
        <f>'[1]Electricity and CHPs_CAP'!B$37</f>
        <v>0.27424799999999999</v>
      </c>
      <c r="G1802" s="1">
        <f>'[1]Electricity and CHPs_CAP'!C$37</f>
        <v>0.43896439704346285</v>
      </c>
      <c r="H1802" s="1">
        <f>'[1]Electricity and CHPs_CAP'!D$37</f>
        <v>1.334978948822773</v>
      </c>
      <c r="I1802" s="1">
        <f>'[1]Electricity and CHPs_CAP'!E$37</f>
        <v>2.6289808155248098</v>
      </c>
      <c r="J1802" s="1">
        <f>'[1]Electricity and CHPs_CAP'!F$37</f>
        <v>2.9040403099909522</v>
      </c>
      <c r="K1802" s="1">
        <f>'[1]Electricity and CHPs_CAP'!G$37</f>
        <v>3.2078724262838501</v>
      </c>
    </row>
    <row r="1803" spans="2:11" x14ac:dyDescent="0.25">
      <c r="B1803" s="5" t="str">
        <f t="shared" si="1101"/>
        <v>SPS3</v>
      </c>
      <c r="C1803" s="5" t="str">
        <f t="shared" si="1109"/>
        <v>CH</v>
      </c>
      <c r="D1803" t="s">
        <v>1839</v>
      </c>
      <c r="E1803" t="str">
        <f t="shared" si="1095"/>
        <v>GWe/yr.</v>
      </c>
      <c r="F1803" s="1">
        <f>'[1]Electricity and CHPs_CAP'!B$38</f>
        <v>0.90292899999999998</v>
      </c>
      <c r="G1803" s="1">
        <f>'[1]Electricity and CHPs_CAP'!C$38</f>
        <v>1.1231013218031358</v>
      </c>
      <c r="H1803" s="1">
        <f>'[1]Electricity and CHPs_CAP'!D$38</f>
        <v>2.1799416244343703</v>
      </c>
      <c r="I1803" s="1">
        <f>'[1]Electricity and CHPs_CAP'!E$38</f>
        <v>5.1607235409973899</v>
      </c>
      <c r="J1803" s="1">
        <f>'[1]Electricity and CHPs_CAP'!F$38</f>
        <v>5.7006516578415489</v>
      </c>
      <c r="K1803" s="1">
        <f>'[1]Electricity and CHPs_CAP'!G$38</f>
        <v>6.2970667395723101</v>
      </c>
    </row>
    <row r="1804" spans="2:11" x14ac:dyDescent="0.25">
      <c r="B1804" s="5" t="str">
        <f t="shared" si="1101"/>
        <v>SPS3</v>
      </c>
      <c r="C1804" s="5" t="str">
        <f>C1807</f>
        <v>CH</v>
      </c>
      <c r="D1804" t="s">
        <v>1840</v>
      </c>
      <c r="E1804" t="str">
        <f t="shared" si="1095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1.05678383071329E-7</v>
      </c>
      <c r="K1804" s="1">
        <f>'[1]Electricity and CHPs_CAP'!G$32</f>
        <v>1.2870213936154581E-7</v>
      </c>
    </row>
    <row r="1805" spans="2:11" x14ac:dyDescent="0.25">
      <c r="B1805" s="5" t="str">
        <f t="shared" si="1101"/>
        <v>SPS3</v>
      </c>
      <c r="C1805" s="5" t="str">
        <f t="shared" ref="B1805:C1805" si="1110">C1804</f>
        <v>CH</v>
      </c>
      <c r="D1805" t="s">
        <v>1841</v>
      </c>
      <c r="E1805" t="str">
        <f t="shared" si="1095"/>
        <v>GWe/yr.</v>
      </c>
      <c r="F1805" s="1">
        <f>F1804</f>
        <v>0</v>
      </c>
      <c r="G1805" s="1">
        <f t="shared" ref="G1805:K1805" si="1111">G1804</f>
        <v>0</v>
      </c>
      <c r="H1805" s="1">
        <f t="shared" si="1111"/>
        <v>0</v>
      </c>
      <c r="I1805" s="1">
        <f t="shared" si="1111"/>
        <v>0</v>
      </c>
      <c r="J1805" s="1">
        <f t="shared" si="1111"/>
        <v>1.05678383071329E-7</v>
      </c>
      <c r="K1805" s="1">
        <f t="shared" si="1111"/>
        <v>1.2870213936154581E-7</v>
      </c>
    </row>
    <row r="1806" spans="2:11" x14ac:dyDescent="0.25">
      <c r="B1806" s="5" t="str">
        <f t="shared" si="1101"/>
        <v>SPS3</v>
      </c>
      <c r="C1806" s="5" t="str">
        <f>C1803</f>
        <v>CH</v>
      </c>
      <c r="D1806" t="s">
        <v>1842</v>
      </c>
      <c r="E1806" t="str">
        <f t="shared" si="1095"/>
        <v>GWe/yr.</v>
      </c>
      <c r="F1806" s="1">
        <f t="shared" ref="F1806:K1806" si="1112">SUM(F1807:F1809)</f>
        <v>0</v>
      </c>
      <c r="G1806" s="1">
        <f t="shared" si="1112"/>
        <v>0</v>
      </c>
      <c r="H1806" s="1">
        <f t="shared" si="1112"/>
        <v>0</v>
      </c>
      <c r="I1806" s="1">
        <f t="shared" si="1112"/>
        <v>7.4370616119137214E-2</v>
      </c>
      <c r="J1806" s="1">
        <f t="shared" si="1112"/>
        <v>2.2717944421247631E-2</v>
      </c>
      <c r="K1806" s="1">
        <f t="shared" si="1112"/>
        <v>0.22939602308191118</v>
      </c>
    </row>
    <row r="1807" spans="2:11" x14ac:dyDescent="0.25">
      <c r="B1807" s="5" t="str">
        <f t="shared" si="1101"/>
        <v>SPS3</v>
      </c>
      <c r="C1807" s="5" t="str">
        <f t="shared" si="1109"/>
        <v>CH</v>
      </c>
      <c r="D1807" t="s">
        <v>1843</v>
      </c>
      <c r="E1807" t="str">
        <f t="shared" si="1095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2.0452342759069101E-4</v>
      </c>
      <c r="K1807" s="1">
        <f>'[1]Electricity and CHPs_CAP'!G$30</f>
        <v>1.3562209522952158E-2</v>
      </c>
    </row>
    <row r="1808" spans="2:11" x14ac:dyDescent="0.25">
      <c r="B1808" s="5" t="str">
        <f t="shared" si="1101"/>
        <v>SPS3</v>
      </c>
      <c r="C1808" s="5" t="str">
        <f>C1804</f>
        <v>CH</v>
      </c>
      <c r="D1808" t="s">
        <v>1844</v>
      </c>
      <c r="E1808" t="str">
        <f t="shared" si="1095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7.4288636520242105E-2</v>
      </c>
      <c r="J1808" s="1">
        <f>'[1]Electricity and CHPs_CAP'!F$46</f>
        <v>2.24194195234809E-2</v>
      </c>
      <c r="K1808" s="1">
        <f>'[1]Electricity and CHPs_CAP'!G$46</f>
        <v>0.21573300918889007</v>
      </c>
    </row>
    <row r="1809" spans="2:11" x14ac:dyDescent="0.25">
      <c r="B1809" s="5" t="str">
        <f t="shared" si="1101"/>
        <v>SPS3</v>
      </c>
      <c r="C1809" s="5" t="str">
        <f t="shared" si="1109"/>
        <v>CH</v>
      </c>
      <c r="D1809" t="s">
        <v>1845</v>
      </c>
      <c r="E1809" t="str">
        <f t="shared" si="1095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8.1979598895105406E-5</v>
      </c>
      <c r="J1809" s="1">
        <f>'[1]Electricity and CHPs_CAP'!F$57</f>
        <v>9.4001470176041408E-5</v>
      </c>
      <c r="K1809" s="1">
        <f>'[1]Electricity and CHPs_CAP'!G$57</f>
        <v>1.0080437006895015E-4</v>
      </c>
    </row>
    <row r="1810" spans="2:11" x14ac:dyDescent="0.25">
      <c r="B1810" s="5" t="str">
        <f t="shared" si="1101"/>
        <v>SPS3</v>
      </c>
      <c r="C1810" s="5" t="str">
        <f t="shared" si="1109"/>
        <v>CH</v>
      </c>
      <c r="D1810" t="s">
        <v>1846</v>
      </c>
      <c r="E1810" t="str">
        <f t="shared" si="1095"/>
        <v>GWe/yr.</v>
      </c>
      <c r="F1810" s="1">
        <f>SUM(F1811:F1817)</f>
        <v>0.10539498377244412</v>
      </c>
      <c r="G1810" s="1">
        <f t="shared" ref="G1810:K1810" si="1113">SUM(G1811:G1817)</f>
        <v>0.10539823911275423</v>
      </c>
      <c r="H1810" s="1">
        <f t="shared" si="1113"/>
        <v>0.10547374178360866</v>
      </c>
      <c r="I1810" s="1">
        <f t="shared" si="1113"/>
        <v>0.28471796867247351</v>
      </c>
      <c r="J1810" s="1">
        <f t="shared" si="1113"/>
        <v>0.5656891451347047</v>
      </c>
      <c r="K1810" s="1">
        <f t="shared" si="1113"/>
        <v>1.2846121716397187</v>
      </c>
    </row>
    <row r="1811" spans="2:11" x14ac:dyDescent="0.25">
      <c r="B1811" s="5" t="str">
        <f t="shared" si="1101"/>
        <v>SPS3</v>
      </c>
      <c r="C1811" s="5" t="str">
        <f t="shared" si="1109"/>
        <v>CH</v>
      </c>
      <c r="D1811" t="s">
        <v>1847</v>
      </c>
      <c r="E1811" t="str">
        <f t="shared" si="1095"/>
        <v>GWe/yr.</v>
      </c>
      <c r="F1811" s="1">
        <f>'[1]Electricity and CHPs_CAP'!B$63</f>
        <v>0.1</v>
      </c>
      <c r="G1811" s="1">
        <f>'[1]Electricity and CHPs_CAP'!C$63</f>
        <v>9.9998182556312154E-2</v>
      </c>
      <c r="H1811" s="1">
        <f>'[1]Electricity and CHPs_CAP'!D$63</f>
        <v>9.9998265496152469E-2</v>
      </c>
      <c r="I1811" s="1">
        <f>'[1]Electricity and CHPs_CAP'!E$63</f>
        <v>9.9998379502887202E-2</v>
      </c>
      <c r="J1811" s="1">
        <f>'[1]Electricity and CHPs_CAP'!F$63</f>
        <v>9.9999365721577221E-2</v>
      </c>
      <c r="K1811" s="1">
        <f>'[1]Electricity and CHPs_CAP'!G$63</f>
        <v>9.9999376872031129E-2</v>
      </c>
    </row>
    <row r="1812" spans="2:11" x14ac:dyDescent="0.25">
      <c r="B1812" s="5" t="str">
        <f t="shared" si="1101"/>
        <v>SPS3</v>
      </c>
      <c r="C1812" s="5" t="str">
        <f t="shared" si="1109"/>
        <v>CH</v>
      </c>
      <c r="D1812" t="s">
        <v>1848</v>
      </c>
      <c r="E1812" t="str">
        <f t="shared" si="1095"/>
        <v>GWe/yr.</v>
      </c>
      <c r="F1812" s="1">
        <f>'[1]Electricity and CHPs_CAP'!B$64</f>
        <v>8.5647415753474499E-4</v>
      </c>
      <c r="G1812" s="1">
        <f>'[1]Electricity and CHPs_CAP'!C$64</f>
        <v>8.5728938323073958E-4</v>
      </c>
      <c r="H1812" s="1">
        <f>'[1]Electricity and CHPs_CAP'!D$64</f>
        <v>8.8186133840587695E-4</v>
      </c>
      <c r="I1812" s="1">
        <f>'[1]Electricity and CHPs_CAP'!E$64</f>
        <v>1.1533516063302537E-3</v>
      </c>
      <c r="J1812" s="1">
        <f>'[1]Electricity and CHPs_CAP'!F$64</f>
        <v>0.21884683963412027</v>
      </c>
      <c r="K1812" s="1">
        <f>'[1]Electricity and CHPs_CAP'!G$64</f>
        <v>0.86840826602929755</v>
      </c>
    </row>
    <row r="1813" spans="2:11" x14ac:dyDescent="0.25">
      <c r="B1813" s="5" t="str">
        <f t="shared" si="1101"/>
        <v>SPS3</v>
      </c>
      <c r="C1813" s="5" t="str">
        <f t="shared" si="1109"/>
        <v>CH</v>
      </c>
      <c r="D1813" t="s">
        <v>1849</v>
      </c>
      <c r="E1813" t="str">
        <f t="shared" si="1095"/>
        <v>GWe/yr.</v>
      </c>
      <c r="F1813" s="1">
        <f>'[1]Electricity and CHPs_CAP'!B$65</f>
        <v>6.3073407841438803E-4</v>
      </c>
      <c r="G1813" s="1">
        <f>'[1]Electricity and CHPs_CAP'!C$65</f>
        <v>6.3136002728325354E-4</v>
      </c>
      <c r="H1813" s="1">
        <f>'[1]Electricity and CHPs_CAP'!D$65</f>
        <v>6.4778494713504356E-4</v>
      </c>
      <c r="I1813" s="1">
        <f>'[1]Electricity and CHPs_CAP'!E$65</f>
        <v>8.0728062538469255E-4</v>
      </c>
      <c r="J1813" s="1">
        <f>'[1]Electricity and CHPs_CAP'!F$65</f>
        <v>4.4527257154410096E-3</v>
      </c>
      <c r="K1813" s="1">
        <f>'[1]Electricity and CHPs_CAP'!G$65</f>
        <v>2.4958914467553963E-2</v>
      </c>
    </row>
    <row r="1814" spans="2:11" x14ac:dyDescent="0.25">
      <c r="B1814" s="5" t="str">
        <f t="shared" si="1101"/>
        <v>SPS3</v>
      </c>
      <c r="C1814" s="5" t="str">
        <f t="shared" si="1109"/>
        <v>CH</v>
      </c>
      <c r="D1814" t="s">
        <v>1850</v>
      </c>
      <c r="E1814" t="str">
        <f t="shared" si="1095"/>
        <v>GWe/yr.</v>
      </c>
      <c r="F1814" s="1">
        <f>'[1]Electricity and CHPs_CAP'!B$66</f>
        <v>5.8639578607714302E-4</v>
      </c>
      <c r="G1814" s="1">
        <f>'[1]Electricity and CHPs_CAP'!C$66</f>
        <v>5.8695527216163471E-4</v>
      </c>
      <c r="H1814" s="1">
        <f>'[1]Electricity and CHPs_CAP'!D$66</f>
        <v>5.9398187302089856E-4</v>
      </c>
      <c r="I1814" s="1">
        <f>'[1]Electricity and CHPs_CAP'!E$66</f>
        <v>1.8197832177448549E-3</v>
      </c>
      <c r="J1814" s="1">
        <f>'[1]Electricity and CHPs_CAP'!F$66</f>
        <v>3.0618464394386101E-3</v>
      </c>
      <c r="K1814" s="1">
        <f>'[1]Electricity and CHPs_CAP'!G$66</f>
        <v>1.6978721390210896E-3</v>
      </c>
    </row>
    <row r="1815" spans="2:11" x14ac:dyDescent="0.25">
      <c r="B1815" s="5" t="str">
        <f t="shared" si="1101"/>
        <v>SPS3</v>
      </c>
      <c r="C1815" s="5" t="str">
        <f t="shared" si="1109"/>
        <v>CH</v>
      </c>
      <c r="D1815" t="s">
        <v>1856</v>
      </c>
      <c r="E1815" t="str">
        <f t="shared" si="1095"/>
        <v>GWe/yr.</v>
      </c>
      <c r="F1815" s="1">
        <f>'[1]Electricity and CHPs_CAP'!B$67</f>
        <v>1.3657537180925979E-3</v>
      </c>
      <c r="G1815" s="1">
        <f>'[1]Electricity and CHPs_CAP'!C$67</f>
        <v>1.3670065688835863E-3</v>
      </c>
      <c r="H1815" s="1">
        <f>'[1]Electricity and CHPs_CAP'!D$67</f>
        <v>1.3770075195310143E-3</v>
      </c>
      <c r="I1815" s="1">
        <f>'[1]Electricity and CHPs_CAP'!E$67</f>
        <v>8.7712195812598565E-2</v>
      </c>
      <c r="J1815" s="1">
        <f>'[1]Electricity and CHPs_CAP'!F$67</f>
        <v>0.11772784245030939</v>
      </c>
      <c r="K1815" s="1">
        <f>'[1]Electricity and CHPs_CAP'!G$67</f>
        <v>0.14401903599737612</v>
      </c>
    </row>
    <row r="1816" spans="2:11" x14ac:dyDescent="0.25">
      <c r="B1816" s="5" t="str">
        <f t="shared" si="1101"/>
        <v>SPS3</v>
      </c>
      <c r="C1816" s="5" t="str">
        <f t="shared" ref="B1816:C1817" si="1114">C1815</f>
        <v>CH</v>
      </c>
      <c r="D1816" t="s">
        <v>1851</v>
      </c>
      <c r="E1816" t="str">
        <f t="shared" si="1095"/>
        <v>GWe/yr.</v>
      </c>
      <c r="F1816" s="1">
        <f>'[1]Electricity and CHPs_CAP'!B$68</f>
        <v>1.3668584929351843E-3</v>
      </c>
      <c r="G1816" s="1">
        <f>'[1]Electricity and CHPs_CAP'!C$68</f>
        <v>1.3681203031739627E-3</v>
      </c>
      <c r="H1816" s="1">
        <f>'[1]Electricity and CHPs_CAP'!D$68</f>
        <v>1.3783685777028921E-3</v>
      </c>
      <c r="I1816" s="1">
        <f>'[1]Electricity and CHPs_CAP'!E$68</f>
        <v>9.1411213889731863E-2</v>
      </c>
      <c r="J1816" s="1">
        <f>'[1]Electricity and CHPs_CAP'!F$68</f>
        <v>0.11889330367142431</v>
      </c>
      <c r="K1816" s="1">
        <f>'[1]Electricity and CHPs_CAP'!G$68</f>
        <v>0.14399241007696839</v>
      </c>
    </row>
    <row r="1817" spans="2:11" x14ac:dyDescent="0.25">
      <c r="B1817" s="5" t="str">
        <f t="shared" si="1101"/>
        <v>SPS3</v>
      </c>
      <c r="C1817" s="5" t="str">
        <f t="shared" si="1114"/>
        <v>CH</v>
      </c>
      <c r="D1817" t="s">
        <v>1852</v>
      </c>
      <c r="E1817" t="str">
        <f t="shared" si="1095"/>
        <v>GWe/yr.</v>
      </c>
      <c r="F1817" s="1">
        <f>'[1]Electricity and CHPs_CAP'!B$69</f>
        <v>5.8876753939006248E-4</v>
      </c>
      <c r="G1817" s="1">
        <f>'[1]Electricity and CHPs_CAP'!C$69</f>
        <v>5.8932500170889293E-4</v>
      </c>
      <c r="H1817" s="1">
        <f>'[1]Electricity and CHPs_CAP'!D$69</f>
        <v>5.9647203166046593E-4</v>
      </c>
      <c r="I1817" s="1">
        <f>'[1]Electricity and CHPs_CAP'!E$69</f>
        <v>1.815764017796093E-3</v>
      </c>
      <c r="J1817" s="1">
        <f>'[1]Electricity and CHPs_CAP'!F$69</f>
        <v>2.707221502393884E-3</v>
      </c>
      <c r="K1817" s="1">
        <f>'[1]Electricity and CHPs_CAP'!G$69</f>
        <v>1.5362960574706094E-3</v>
      </c>
    </row>
    <row r="1818" spans="2:11" x14ac:dyDescent="0.25">
      <c r="B1818" s="5" t="str">
        <f t="shared" si="1101"/>
        <v>SPS3</v>
      </c>
      <c r="C1818" s="5" t="str">
        <f t="shared" ref="B1818:C1818" si="1115">C1817</f>
        <v>CH</v>
      </c>
      <c r="D1818" s="2" t="s">
        <v>1861</v>
      </c>
      <c r="E1818" s="2" t="s">
        <v>1859</v>
      </c>
      <c r="F1818" s="3">
        <f>SUM(F1819,F1838)</f>
        <v>11.164025311602339</v>
      </c>
      <c r="G1818" s="3">
        <f t="shared" ref="G1818:K1818" si="1116">SUM(G1819,G1838)</f>
        <v>11.53225393817328</v>
      </c>
      <c r="H1818" s="3">
        <f t="shared" si="1116"/>
        <v>10.96184144064031</v>
      </c>
      <c r="I1818" s="3">
        <f t="shared" si="1116"/>
        <v>12.473892255257821</v>
      </c>
      <c r="J1818" s="3">
        <f t="shared" si="1116"/>
        <v>8.6858068708266423</v>
      </c>
      <c r="K1818" s="3">
        <f t="shared" si="1116"/>
        <v>8.0170245745308204</v>
      </c>
    </row>
    <row r="1819" spans="2:11" x14ac:dyDescent="0.25">
      <c r="B1819" s="5" t="str">
        <f t="shared" si="1101"/>
        <v>SPS3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9.3030275728921783</v>
      </c>
      <c r="G1819" s="1">
        <f t="shared" ref="G1819:K1819" si="1117">SUM(G1820,G1823,G1825,G1828,G1830,G1832,G1834,G1836)</f>
        <v>9.5126173292233194</v>
      </c>
      <c r="H1819" s="1">
        <f t="shared" si="1117"/>
        <v>9.1055121176514273</v>
      </c>
      <c r="I1819" s="1">
        <f t="shared" si="1117"/>
        <v>10.456145576193267</v>
      </c>
      <c r="J1819" s="1">
        <f t="shared" si="1117"/>
        <v>6.5554899849607207</v>
      </c>
      <c r="K1819" s="1">
        <f t="shared" si="1117"/>
        <v>5.6575065142955312</v>
      </c>
    </row>
    <row r="1820" spans="2:11" x14ac:dyDescent="0.25">
      <c r="B1820" s="5" t="str">
        <f t="shared" si="1101"/>
        <v>SPS3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2.1116643120320173</v>
      </c>
      <c r="G1820" s="1">
        <f t="shared" ref="G1820:K1820" si="1118">SUM(G1821:G1822)</f>
        <v>2.2466550288928353</v>
      </c>
      <c r="H1820" s="1">
        <f t="shared" si="1118"/>
        <v>2.7373275874840695</v>
      </c>
      <c r="I1820" s="1">
        <f t="shared" si="1118"/>
        <v>3.9783074611347704</v>
      </c>
      <c r="J1820" s="1">
        <f t="shared" si="1118"/>
        <v>5.1177508142272092</v>
      </c>
      <c r="K1820" s="1">
        <f t="shared" si="1118"/>
        <v>4.7591284312768698</v>
      </c>
    </row>
    <row r="1821" spans="2:11" x14ac:dyDescent="0.25">
      <c r="B1821" s="5" t="str">
        <f t="shared" si="1101"/>
        <v>SPS3</v>
      </c>
      <c r="C1821" s="5" t="str">
        <f t="shared" ref="B1821:C1821" si="1119">C1820</f>
        <v>CH</v>
      </c>
      <c r="D1821" t="s">
        <v>1863</v>
      </c>
      <c r="E1821" t="str">
        <f t="shared" ref="E1821:E1884" si="1120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0.67257146654203703</v>
      </c>
      <c r="G1821" s="1" cm="1">
        <f t="array" ref="G1821">SUMPRODUCT(([1]OUT_FinalEnergyCons!$B$4:$B$10000="var_cap")*1,(ISNUMBER(SEARCH("RH*-SHELCBR",[1]OUT_FinalEnergyCons!$A$4:$A$10000)))*1,[1]OUT_FinalEnergyCons!E$4:E$10000)</f>
        <v>0.58280212279781762</v>
      </c>
      <c r="H1821" s="1" cm="1">
        <f t="array" ref="H1821">SUMPRODUCT(([1]OUT_FinalEnergyCons!$B$4:$B$10000="var_cap")*1,(ISNUMBER(SEARCH("RH*-SHELCBR",[1]OUT_FinalEnergyCons!$A$4:$A$10000)))*1,[1]OUT_FinalEnergyCons!F$4:F$10000)</f>
        <v>0.14214832958758</v>
      </c>
      <c r="I1821" s="1" cm="1">
        <f t="array" ref="I1821">SUMPRODUCT(([1]OUT_FinalEnergyCons!$B$4:$B$10000="var_cap")*1,(ISNUMBER(SEARCH("RH*-SHELCBR",[1]OUT_FinalEnergyCons!$A$4:$A$10000)))*1,[1]OUT_FinalEnergyCons!G$4:G$10000)</f>
        <v>4.4014272788468325E-2</v>
      </c>
      <c r="J1821" s="1" cm="1">
        <f t="array" ref="J1821">SUMPRODUCT(([1]OUT_FinalEnergyCons!$B$4:$B$10000="var_cap")*1,(ISNUMBER(SEARCH("RH*-SHELCBR",[1]OUT_FinalEnergyCons!$A$4:$A$10000)))*1,[1]OUT_FinalEnergyCons!H$4:H$10000)</f>
        <v>2.9874331166713148E-3</v>
      </c>
      <c r="K1821" s="1" cm="1">
        <f t="array" ref="K1821">SUMPRODUCT(([1]OUT_FinalEnergyCons!$B$4:$B$10000="var_cap")*1,(ISNUMBER(SEARCH("RH*-SHELCBR",[1]OUT_FinalEnergyCons!$A$4:$A$10000)))*1,[1]OUT_FinalEnergyCons!I$4:I$10000)</f>
        <v>1.2656778046995832E-3</v>
      </c>
    </row>
    <row r="1822" spans="2:11" x14ac:dyDescent="0.25">
      <c r="B1822" s="5" t="str">
        <f t="shared" si="1101"/>
        <v>SPS3</v>
      </c>
      <c r="C1822" s="5" t="str">
        <f t="shared" ref="B1822:C1822" si="1121">C1821</f>
        <v>CH</v>
      </c>
      <c r="D1822" t="s">
        <v>1864</v>
      </c>
      <c r="E1822" t="str">
        <f t="shared" si="1120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1.4390928454899805</v>
      </c>
      <c r="G1822" s="1" cm="1">
        <f t="array" ref="G1822">SUMPRODUCT(([1]OUT_FinalEnergyCons!$B$4:$B$10000="var_cap")*1,ISNUMBER(SEARCH("RH*-SHELCHP",[1]OUT_FinalEnergyCons!$A$4:$A$10000))*1,[1]OUT_FinalEnergyCons!E$4:E$10000)</f>
        <v>1.6638529060950178</v>
      </c>
      <c r="H1822" s="1" cm="1">
        <f t="array" ref="H1822">SUMPRODUCT(([1]OUT_FinalEnergyCons!$B$4:$B$10000="var_cap")*1,ISNUMBER(SEARCH("RH*-SHELCHP",[1]OUT_FinalEnergyCons!$A$4:$A$10000))*1,[1]OUT_FinalEnergyCons!F$4:F$10000)</f>
        <v>2.5951792578964894</v>
      </c>
      <c r="I1822" s="1" cm="1">
        <f t="array" ref="I1822">SUMPRODUCT(([1]OUT_FinalEnergyCons!$B$4:$B$10000="var_cap")*1,ISNUMBER(SEARCH("RH*-SHELCHP",[1]OUT_FinalEnergyCons!$A$4:$A$10000))*1,[1]OUT_FinalEnergyCons!G$4:G$10000)</f>
        <v>3.9342931883463019</v>
      </c>
      <c r="J1822" s="1" cm="1">
        <f t="array" ref="J1822">SUMPRODUCT(([1]OUT_FinalEnergyCons!$B$4:$B$10000="var_cap")*1,ISNUMBER(SEARCH("RH*-SHELCHP",[1]OUT_FinalEnergyCons!$A$4:$A$10000))*1,[1]OUT_FinalEnergyCons!H$4:H$10000)</f>
        <v>5.1147633811105377</v>
      </c>
      <c r="K1822" s="1" cm="1">
        <f t="array" ref="K1822">SUMPRODUCT(([1]OUT_FinalEnergyCons!$B$4:$B$10000="var_cap")*1,ISNUMBER(SEARCH("RH*-SHELCHP",[1]OUT_FinalEnergyCons!$A$4:$A$10000))*1,[1]OUT_FinalEnergyCons!I$4:I$10000)</f>
        <v>4.7578627534721702</v>
      </c>
    </row>
    <row r="1823" spans="2:11" x14ac:dyDescent="0.25">
      <c r="B1823" s="5" t="str">
        <f t="shared" si="1101"/>
        <v>SPS3</v>
      </c>
      <c r="C1823" s="5" t="str">
        <f t="shared" ref="B1823:C1823" si="1122">C1822</f>
        <v>CH</v>
      </c>
      <c r="D1823" t="s">
        <v>1865</v>
      </c>
      <c r="E1823" t="str">
        <f t="shared" si="1120"/>
        <v>GWth/yr.</v>
      </c>
      <c r="F1823" s="1">
        <f>F1824</f>
        <v>3.4074053831106799</v>
      </c>
      <c r="G1823" s="1">
        <f t="shared" ref="G1823:K1823" si="1123">G1824</f>
        <v>3.1849403789493813</v>
      </c>
      <c r="H1823" s="1">
        <f t="shared" si="1123"/>
        <v>2.5459833603696516</v>
      </c>
      <c r="I1823" s="1">
        <f t="shared" si="1123"/>
        <v>2.4494199962989942</v>
      </c>
      <c r="J1823" s="1">
        <f t="shared" si="1123"/>
        <v>0.14594661420355046</v>
      </c>
      <c r="K1823" s="1">
        <f t="shared" si="1123"/>
        <v>1.4486828265505701E-2</v>
      </c>
    </row>
    <row r="1824" spans="2:11" x14ac:dyDescent="0.25">
      <c r="B1824" s="5" t="str">
        <f t="shared" si="1101"/>
        <v>SPS3</v>
      </c>
      <c r="C1824" s="5" t="str">
        <f t="shared" ref="B1824:C1824" si="1124">C1823</f>
        <v>CH</v>
      </c>
      <c r="D1824" t="s">
        <v>1866</v>
      </c>
      <c r="E1824" t="str">
        <f t="shared" si="1120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3.1849403789493813</v>
      </c>
      <c r="H1824" s="1" cm="1">
        <f t="array" ref="H1824">SUMPRODUCT(([1]OUT_FinalEnergyCons!$B$4:$B$10000="var_cap")*1, (ISNUMBER(SEARCH("RH*-SHLFOBR",[1]OUT_FinalEnergyCons!$A$4:$A$10000)))*1,[1]OUT_FinalEnergyCons!F$4:F$10000)</f>
        <v>2.5459833603696516</v>
      </c>
      <c r="I1824" s="1" cm="1">
        <f t="array" ref="I1824">SUMPRODUCT(([1]OUT_FinalEnergyCons!$B$4:$B$10000="var_cap")*1, (ISNUMBER(SEARCH("RH*-SHLFOBR",[1]OUT_FinalEnergyCons!$A$4:$A$10000)))*1,[1]OUT_FinalEnergyCons!G$4:G$10000)</f>
        <v>2.4494199962989942</v>
      </c>
      <c r="J1824" s="1" cm="1">
        <f t="array" ref="J1824">SUMPRODUCT(([1]OUT_FinalEnergyCons!$B$4:$B$10000="var_cap")*1, (ISNUMBER(SEARCH("RH*-SHLFOBR",[1]OUT_FinalEnergyCons!$A$4:$A$10000)))*1,[1]OUT_FinalEnergyCons!H$4:H$10000)</f>
        <v>0.14594661420355046</v>
      </c>
      <c r="K1824" s="1" cm="1">
        <f t="array" ref="K1824">SUMPRODUCT(([1]OUT_FinalEnergyCons!$B$4:$B$10000="var_cap")*1, (ISNUMBER(SEARCH("RH*-SHLFOBR",[1]OUT_FinalEnergyCons!$A$4:$A$10000)))*1,[1]OUT_FinalEnergyCons!I$4:I$10000)</f>
        <v>1.4486828265505701E-2</v>
      </c>
    </row>
    <row r="1825" spans="2:11" x14ac:dyDescent="0.25">
      <c r="B1825" s="5" t="str">
        <f t="shared" si="1101"/>
        <v>SPS3</v>
      </c>
      <c r="C1825" s="5" t="str">
        <f t="shared" ref="B1825:C1825" si="1125">C1824</f>
        <v>CH</v>
      </c>
      <c r="D1825" t="s">
        <v>1867</v>
      </c>
      <c r="E1825" t="str">
        <f t="shared" si="1120"/>
        <v>GWth/yr.</v>
      </c>
      <c r="F1825" s="1">
        <f>SUM(F1826:F1827)</f>
        <v>2.7687542400245184</v>
      </c>
      <c r="G1825" s="1">
        <f t="shared" ref="G1825:K1825" si="1126">SUM(G1826:G1827)</f>
        <v>2.9466652506582136</v>
      </c>
      <c r="H1825" s="1">
        <f t="shared" si="1126"/>
        <v>2.9085942261280127</v>
      </c>
      <c r="I1825" s="1">
        <f t="shared" si="1126"/>
        <v>3.1184452917255916</v>
      </c>
      <c r="J1825" s="1">
        <f t="shared" si="1126"/>
        <v>0.93822140387841135</v>
      </c>
      <c r="K1825" s="1">
        <f t="shared" si="1126"/>
        <v>0.70239977826765854</v>
      </c>
    </row>
    <row r="1826" spans="2:11" x14ac:dyDescent="0.25">
      <c r="B1826" s="5" t="str">
        <f t="shared" si="1101"/>
        <v>SPS3</v>
      </c>
      <c r="C1826" s="5" t="str">
        <f t="shared" ref="B1826:C1826" si="1127">C1825</f>
        <v>CH</v>
      </c>
      <c r="D1826" t="s">
        <v>1868</v>
      </c>
      <c r="E1826" t="str">
        <f t="shared" si="1120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2.9466617821441683</v>
      </c>
      <c r="H1826" s="1" cm="1">
        <f t="array" ref="H1826">SUMPRODUCT(([1]OUT_FinalEnergyCons!$B$4:$B$10000="var_cap")*1, (ISNUMBER(SEARCH("RH*-SHNGABR",[1]OUT_FinalEnergyCons!$A$4:$A$10000)))*1,[1]OUT_FinalEnergyCons!F$4:F$10000)</f>
        <v>2.6125724877981451</v>
      </c>
      <c r="I1826" s="1" cm="1">
        <f t="array" ref="I1826">SUMPRODUCT(([1]OUT_FinalEnergyCons!$B$4:$B$10000="var_cap")*1, (ISNUMBER(SEARCH("RH*-SHNGABR",[1]OUT_FinalEnergyCons!$A$4:$A$10000)))*1,[1]OUT_FinalEnergyCons!G$4:G$10000)</f>
        <v>2.6115688346424601</v>
      </c>
      <c r="J1826" s="1" cm="1">
        <f t="array" ref="J1826">SUMPRODUCT(([1]OUT_FinalEnergyCons!$B$4:$B$10000="var_cap")*1, (ISNUMBER(SEARCH("RH*-SHNGABR",[1]OUT_FinalEnergyCons!$A$4:$A$10000)))*1,[1]OUT_FinalEnergyCons!H$4:H$10000)</f>
        <v>0.26402462958040518</v>
      </c>
      <c r="K1826" s="1" cm="1">
        <f t="array" ref="K1826">SUMPRODUCT(([1]OUT_FinalEnergyCons!$B$4:$B$10000="var_cap")*1, (ISNUMBER(SEARCH("RH*-SHNGABR",[1]OUT_FinalEnergyCons!$A$4:$A$10000)))*1,[1]OUT_FinalEnergyCons!I$4:I$10000)</f>
        <v>0.15355235598978886</v>
      </c>
    </row>
    <row r="1827" spans="2:11" x14ac:dyDescent="0.25">
      <c r="B1827" s="5" t="str">
        <f t="shared" si="1101"/>
        <v>SPS3</v>
      </c>
      <c r="C1827" s="5" t="str">
        <f t="shared" ref="B1827:C1827" si="1128">C1826</f>
        <v>CH</v>
      </c>
      <c r="D1827" t="s">
        <v>1869</v>
      </c>
      <c r="E1827" t="str">
        <f t="shared" si="1120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1.8878616828924201E-7</v>
      </c>
      <c r="G1827" s="1" cm="1">
        <f t="array" ref="G1827">SUMPRODUCT(([1]OUT_FinalEnergyCons!$B$4:$B$10000="var_cap")*1,ISNUMBER(SEARCH("RH*-SHngahp",[1]OUT_FinalEnergyCons!$A$4:$A$10000))*1,[1]OUT_FinalEnergyCons!E$4:E$10000)</f>
        <v>3.4685140454530266E-6</v>
      </c>
      <c r="H1827" s="1" cm="1">
        <f t="array" ref="H1827">SUMPRODUCT(([1]OUT_FinalEnergyCons!$B$4:$B$10000="var_cap")*1,ISNUMBER(SEARCH("RH*-SHngahp",[1]OUT_FinalEnergyCons!$A$4:$A$10000))*1,[1]OUT_FinalEnergyCons!F$4:F$10000)</f>
        <v>0.29602173832986767</v>
      </c>
      <c r="I1827" s="1" cm="1">
        <f t="array" ref="I1827">SUMPRODUCT(([1]OUT_FinalEnergyCons!$B$4:$B$10000="var_cap")*1,ISNUMBER(SEARCH("RH*-SHngahp",[1]OUT_FinalEnergyCons!$A$4:$A$10000))*1,[1]OUT_FinalEnergyCons!G$4:G$10000)</f>
        <v>0.50687645708313145</v>
      </c>
      <c r="J1827" s="1" cm="1">
        <f t="array" ref="J1827">SUMPRODUCT(([1]OUT_FinalEnergyCons!$B$4:$B$10000="var_cap")*1,ISNUMBER(SEARCH("RH*-SHngahp",[1]OUT_FinalEnergyCons!$A$4:$A$10000))*1,[1]OUT_FinalEnergyCons!H$4:H$10000)</f>
        <v>0.67419677429800617</v>
      </c>
      <c r="K1827" s="1" cm="1">
        <f t="array" ref="K1827">SUMPRODUCT(([1]OUT_FinalEnergyCons!$B$4:$B$10000="var_cap")*1,ISNUMBER(SEARCH("RH*-SHngahp",[1]OUT_FinalEnergyCons!$A$4:$A$10000))*1,[1]OUT_FinalEnergyCons!I$4:I$10000)</f>
        <v>0.54884742227786965</v>
      </c>
    </row>
    <row r="1828" spans="2:11" x14ac:dyDescent="0.25">
      <c r="B1828" s="5" t="str">
        <f t="shared" si="1101"/>
        <v>SPS3</v>
      </c>
      <c r="C1828" s="5" t="str">
        <f t="shared" ref="B1828:C1828" si="1129">C1827</f>
        <v>CH</v>
      </c>
      <c r="D1828" t="s">
        <v>1870</v>
      </c>
      <c r="E1828" t="str">
        <f t="shared" si="1120"/>
        <v>GWth/yr.</v>
      </c>
      <c r="F1828" s="1">
        <f>F1829</f>
        <v>7.0000000000000001E-3</v>
      </c>
      <c r="G1828" s="1">
        <f t="shared" ref="G1828:K1828" si="1130">G1829</f>
        <v>6.777418315786583E-3</v>
      </c>
      <c r="H1828" s="1">
        <f t="shared" si="1130"/>
        <v>2.4900379887138006E-3</v>
      </c>
      <c r="I1828" s="1">
        <f t="shared" si="1130"/>
        <v>7.1776214894698348E-6</v>
      </c>
      <c r="J1828" s="1">
        <f t="shared" si="1130"/>
        <v>0</v>
      </c>
      <c r="K1828" s="1">
        <f t="shared" si="1130"/>
        <v>0</v>
      </c>
    </row>
    <row r="1829" spans="2:11" x14ac:dyDescent="0.25">
      <c r="B1829" s="5" t="str">
        <f t="shared" si="1101"/>
        <v>SPS3</v>
      </c>
      <c r="C1829" s="5" t="str">
        <f t="shared" ref="B1829:C1829" si="1131">C1828</f>
        <v>CH</v>
      </c>
      <c r="D1829" t="s">
        <v>1871</v>
      </c>
      <c r="E1829" t="str">
        <f t="shared" si="1120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6.777418315786583E-3</v>
      </c>
      <c r="H1829" s="1" cm="1">
        <f t="array" ref="H1829">SUMPRODUCT(([1]OUT_FinalEnergyCons!$B$4:$B$10000="var_cap")*1, (ISNUMBER(SEARCH("RH*-SHCOABR",[1]OUT_FinalEnergyCons!$A$4:$A$10000)))*1,[1]OUT_FinalEnergyCons!F$4:F$10000)</f>
        <v>2.4900379887138006E-3</v>
      </c>
      <c r="I1829" s="1" cm="1">
        <f t="array" ref="I1829">SUMPRODUCT(([1]OUT_FinalEnergyCons!$B$4:$B$10000="var_cap")*1, (ISNUMBER(SEARCH("RH*-SHCOABR",[1]OUT_FinalEnergyCons!$A$4:$A$10000)))*1,[1]OUT_FinalEnergyCons!G$4:G$10000)</f>
        <v>7.1776214894698348E-6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 t="shared" si="1101"/>
        <v>SPS3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0.68950822479484408</v>
      </c>
      <c r="G1830" s="1">
        <f t="shared" ref="G1830:K1830" si="1132">G1831</f>
        <v>0.75018308741993556</v>
      </c>
      <c r="H1830" s="1">
        <f t="shared" si="1132"/>
        <v>0.75637354486322694</v>
      </c>
      <c r="I1830" s="1">
        <f t="shared" si="1132"/>
        <v>0.75531925670215994</v>
      </c>
      <c r="J1830" s="1">
        <f t="shared" si="1132"/>
        <v>0.33902415198370445</v>
      </c>
      <c r="K1830" s="1">
        <f t="shared" si="1132"/>
        <v>0.16859426651558329</v>
      </c>
    </row>
    <row r="1831" spans="2:11" x14ac:dyDescent="0.25">
      <c r="B1831" s="5" t="str">
        <f t="shared" si="1101"/>
        <v>SPS3</v>
      </c>
      <c r="C1831" s="5" t="str">
        <f t="shared" ref="B1831:C1831" si="1133">C1830</f>
        <v>CH</v>
      </c>
      <c r="D1831" t="s">
        <v>1873</v>
      </c>
      <c r="E1831" t="str">
        <f t="shared" si="1120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0.68950822479484408</v>
      </c>
      <c r="G1831" s="1" cm="1">
        <f t="array" ref="G1831">SUMPRODUCT(([1]OUT_FinalEnergyCons!$B$4:$B$10000="var_cap")*1, (ISNUMBER(SEARCH("RH*-SHWODBR",[1]OUT_FinalEnergyCons!$A$4:$A$10000)))*1,[1]OUT_FinalEnergyCons!E$4:E$10000)</f>
        <v>0.75018308741993556</v>
      </c>
      <c r="H1831" s="1" cm="1">
        <f t="array" ref="H1831">SUMPRODUCT(([1]OUT_FinalEnergyCons!$B$4:$B$10000="var_cap")*1, (ISNUMBER(SEARCH("RH*-SHWODBR",[1]OUT_FinalEnergyCons!$A$4:$A$10000)))*1,[1]OUT_FinalEnergyCons!F$4:F$10000)</f>
        <v>0.75637354486322694</v>
      </c>
      <c r="I1831" s="1" cm="1">
        <f t="array" ref="I1831">SUMPRODUCT(([1]OUT_FinalEnergyCons!$B$4:$B$10000="var_cap")*1, (ISNUMBER(SEARCH("RH*-SHWODBR",[1]OUT_FinalEnergyCons!$A$4:$A$10000)))*1,[1]OUT_FinalEnergyCons!G$4:G$10000)</f>
        <v>0.75531925670215994</v>
      </c>
      <c r="J1831" s="1" cm="1">
        <f t="array" ref="J1831">SUMPRODUCT(([1]OUT_FinalEnergyCons!$B$4:$B$10000="var_cap")*1, (ISNUMBER(SEARCH("RH*-SHWODBR",[1]OUT_FinalEnergyCons!$A$4:$A$10000)))*1,[1]OUT_FinalEnergyCons!H$4:H$10000)</f>
        <v>0.33902415198370445</v>
      </c>
      <c r="K1831" s="1" cm="1">
        <f t="array" ref="K1831">SUMPRODUCT(([1]OUT_FinalEnergyCons!$B$4:$B$10000="var_cap")*1, (ISNUMBER(SEARCH("RH*-SHWODBR",[1]OUT_FinalEnergyCons!$A$4:$A$10000)))*1,[1]OUT_FinalEnergyCons!I$4:I$10000)</f>
        <v>0.16859426651558329</v>
      </c>
    </row>
    <row r="1832" spans="2:11" x14ac:dyDescent="0.25">
      <c r="B1832" s="5" t="str">
        <f t="shared" si="1101"/>
        <v>SPS3</v>
      </c>
      <c r="C1832" s="5" t="str">
        <f t="shared" ref="B1832:C1832" si="1134">C1831</f>
        <v>CH</v>
      </c>
      <c r="D1832" t="s">
        <v>1874</v>
      </c>
      <c r="E1832" t="str">
        <f t="shared" si="1120"/>
        <v>GWth/yr.</v>
      </c>
      <c r="F1832" s="1">
        <f>F1833</f>
        <v>0.20453175432014076</v>
      </c>
      <c r="G1832" s="1">
        <f t="shared" ref="G1832:K1832" si="1135">G1833</f>
        <v>0.24033715417504156</v>
      </c>
      <c r="H1832" s="1">
        <f t="shared" si="1135"/>
        <v>1.769024460218414E-2</v>
      </c>
      <c r="I1832" s="1">
        <f t="shared" si="1135"/>
        <v>1.75887896136948E-2</v>
      </c>
      <c r="J1832" s="1">
        <f t="shared" si="1135"/>
        <v>6.8714401741963209E-3</v>
      </c>
      <c r="K1832" s="1">
        <f t="shared" si="1135"/>
        <v>4.0243047578530288E-3</v>
      </c>
    </row>
    <row r="1833" spans="2:11" x14ac:dyDescent="0.25">
      <c r="B1833" s="5" t="str">
        <f t="shared" si="1101"/>
        <v>SPS3</v>
      </c>
      <c r="C1833" s="5" t="str">
        <f t="shared" ref="B1833:C1833" si="1136">C1832</f>
        <v>CH</v>
      </c>
      <c r="D1833" t="s">
        <v>1875</v>
      </c>
      <c r="E1833" t="str">
        <f t="shared" si="1120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0.20453175432014076</v>
      </c>
      <c r="G1833" s="1" cm="1">
        <f t="array" ref="G1833">SUMPRODUCT(([1]OUT_FinalEnergyCons!$B$4:$B$10000="var_cap")*1, (ISNUMBER(SEARCH("RH*-SHPLTBR",[1]OUT_FinalEnergyCons!$A$4:$A$10000)))*1,[1]OUT_FinalEnergyCons!E$4:E$10000)</f>
        <v>0.24033715417504156</v>
      </c>
      <c r="H1833" s="1" cm="1">
        <f t="array" ref="H1833">SUMPRODUCT(([1]OUT_FinalEnergyCons!$B$4:$B$10000="var_cap")*1, (ISNUMBER(SEARCH("RH*-SHPLTBR",[1]OUT_FinalEnergyCons!$A$4:$A$10000)))*1,[1]OUT_FinalEnergyCons!F$4:F$10000)</f>
        <v>1.769024460218414E-2</v>
      </c>
      <c r="I1833" s="1" cm="1">
        <f t="array" ref="I1833">SUMPRODUCT(([1]OUT_FinalEnergyCons!$B$4:$B$10000="var_cap")*1, (ISNUMBER(SEARCH("RH*-SHPLTBR",[1]OUT_FinalEnergyCons!$A$4:$A$10000)))*1,[1]OUT_FinalEnergyCons!G$4:G$10000)</f>
        <v>1.75887896136948E-2</v>
      </c>
      <c r="J1833" s="1" cm="1">
        <f t="array" ref="J1833">SUMPRODUCT(([1]OUT_FinalEnergyCons!$B$4:$B$10000="var_cap")*1, (ISNUMBER(SEARCH("RH*-SHPLTBR",[1]OUT_FinalEnergyCons!$A$4:$A$10000)))*1,[1]OUT_FinalEnergyCons!H$4:H$10000)</f>
        <v>6.8714401741963209E-3</v>
      </c>
      <c r="K1833" s="1" cm="1">
        <f t="array" ref="K1833">SUMPRODUCT(([1]OUT_FinalEnergyCons!$B$4:$B$10000="var_cap")*1, (ISNUMBER(SEARCH("RH*-SHPLTBR",[1]OUT_FinalEnergyCons!$A$4:$A$10000)))*1,[1]OUT_FinalEnergyCons!I$4:I$10000)</f>
        <v>4.0243047578530288E-3</v>
      </c>
    </row>
    <row r="1834" spans="2:11" x14ac:dyDescent="0.25">
      <c r="B1834" s="5" t="str">
        <f t="shared" si="1101"/>
        <v>SPS3</v>
      </c>
      <c r="C1834" s="5" t="str">
        <f t="shared" ref="B1834:C1834" si="1137">C1833</f>
        <v>CH</v>
      </c>
      <c r="D1834" t="s">
        <v>1876</v>
      </c>
      <c r="E1834" t="str">
        <f t="shared" si="1120"/>
        <v>GWth/yr.</v>
      </c>
      <c r="F1834" s="1">
        <f>F1835</f>
        <v>0.11416365860997786</v>
      </c>
      <c r="G1834" s="1">
        <f t="shared" ref="G1834:K1834" si="1138">G1835</f>
        <v>0.13705901081212513</v>
      </c>
      <c r="H1834" s="1">
        <f t="shared" si="1138"/>
        <v>0.13705311621556932</v>
      </c>
      <c r="I1834" s="1">
        <f t="shared" si="1138"/>
        <v>0.13705760309656573</v>
      </c>
      <c r="J1834" s="1">
        <f t="shared" si="1138"/>
        <v>7.6755604936496451E-3</v>
      </c>
      <c r="K1834" s="1">
        <f t="shared" si="1138"/>
        <v>8.8729052120605847E-3</v>
      </c>
    </row>
    <row r="1835" spans="2:11" x14ac:dyDescent="0.25">
      <c r="B1835" s="5" t="str">
        <f t="shared" si="1101"/>
        <v>SPS3</v>
      </c>
      <c r="C1835" s="5" t="str">
        <f t="shared" ref="B1835:C1835" si="1139">C1834</f>
        <v>CH</v>
      </c>
      <c r="D1835" t="s">
        <v>1877</v>
      </c>
      <c r="E1835" t="str">
        <f t="shared" si="1120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0.11416365860997786</v>
      </c>
      <c r="G1835" s="1" cm="1">
        <f t="array" ref="G1835">SUMPRODUCT(([1]OUT_FinalEnergyCons!$B$4:$B$10000="var_cap")*1, (ISNUMBER(SEARCH("RH*-SHSOLBR",[1]OUT_FinalEnergyCons!$A$4:$A$10000)))*1,[1]OUT_FinalEnergyCons!E$4:E$10000)</f>
        <v>0.13705901081212513</v>
      </c>
      <c r="H1835" s="1" cm="1">
        <f t="array" ref="H1835">SUMPRODUCT(([1]OUT_FinalEnergyCons!$B$4:$B$10000="var_cap")*1, (ISNUMBER(SEARCH("RH*-SHSOLBR",[1]OUT_FinalEnergyCons!$A$4:$A$10000)))*1,[1]OUT_FinalEnergyCons!F$4:F$10000)</f>
        <v>0.13705311621556932</v>
      </c>
      <c r="I1835" s="1" cm="1">
        <f t="array" ref="I1835">SUMPRODUCT(([1]OUT_FinalEnergyCons!$B$4:$B$10000="var_cap")*1, (ISNUMBER(SEARCH("RH*-SHSOLBR",[1]OUT_FinalEnergyCons!$A$4:$A$10000)))*1,[1]OUT_FinalEnergyCons!G$4:G$10000)</f>
        <v>0.13705760309656573</v>
      </c>
      <c r="J1835" s="1" cm="1">
        <f t="array" ref="J1835">SUMPRODUCT(([1]OUT_FinalEnergyCons!$B$4:$B$10000="var_cap")*1, (ISNUMBER(SEARCH("RH*-SHSOLBR",[1]OUT_FinalEnergyCons!$A$4:$A$10000)))*1,[1]OUT_FinalEnergyCons!H$4:H$10000)</f>
        <v>7.6755604936496451E-3</v>
      </c>
      <c r="K1835" s="1" cm="1">
        <f t="array" ref="K1835">SUMPRODUCT(([1]OUT_FinalEnergyCons!$B$4:$B$10000="var_cap")*1, (ISNUMBER(SEARCH("RH*-SHSOLBR",[1]OUT_FinalEnergyCons!$A$4:$A$10000)))*1,[1]OUT_FinalEnergyCons!I$4:I$10000)</f>
        <v>8.8729052120605847E-3</v>
      </c>
    </row>
    <row r="1836" spans="2:11" x14ac:dyDescent="0.25">
      <c r="B1836" s="5" t="str">
        <f t="shared" si="1101"/>
        <v>SPS3</v>
      </c>
      <c r="C1836" s="5" t="str">
        <f t="shared" ref="B1836:C1836" si="1140">C1835</f>
        <v>CH</v>
      </c>
      <c r="D1836" t="s">
        <v>1878</v>
      </c>
      <c r="E1836" t="str">
        <f t="shared" si="1120"/>
        <v>GWth/yr.</v>
      </c>
      <c r="F1836" s="1">
        <f>F1837</f>
        <v>0</v>
      </c>
      <c r="G1836" s="1">
        <f t="shared" ref="G1836:K1836" si="1141">G1837</f>
        <v>0</v>
      </c>
      <c r="H1836" s="1">
        <f t="shared" si="1141"/>
        <v>0</v>
      </c>
      <c r="I1836" s="1">
        <f t="shared" si="1141"/>
        <v>0</v>
      </c>
      <c r="J1836" s="1">
        <f t="shared" si="1141"/>
        <v>0</v>
      </c>
      <c r="K1836" s="1">
        <f t="shared" si="1141"/>
        <v>0</v>
      </c>
    </row>
    <row r="1837" spans="2:11" x14ac:dyDescent="0.25">
      <c r="B1837" s="5" t="str">
        <f t="shared" si="1101"/>
        <v>SPS3</v>
      </c>
      <c r="C1837" s="5" t="str">
        <f t="shared" ref="B1837:C1837" si="1142">C1836</f>
        <v>CH</v>
      </c>
      <c r="D1837" t="s">
        <v>1879</v>
      </c>
      <c r="E1837" t="str">
        <f t="shared" si="1120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si="1101"/>
        <v>SPS3</v>
      </c>
      <c r="C1838" s="5" t="str">
        <f t="shared" ref="B1838:C1838" si="1143">C1837</f>
        <v>CH</v>
      </c>
      <c r="D1838" t="s">
        <v>1880</v>
      </c>
      <c r="E1838" t="str">
        <f t="shared" si="1120"/>
        <v>GWth/yr.</v>
      </c>
      <c r="F1838" s="1">
        <f>SUM(F1839,F1842,F1844,F1847,F1849,F1851,F1853,F1855)</f>
        <v>1.8609977387101611</v>
      </c>
      <c r="G1838" s="1">
        <f t="shared" ref="G1838" si="1144">SUM(G1839,G1842,G1844,G1847,G1849,G1851,G1853,G1855)</f>
        <v>2.0196366089499613</v>
      </c>
      <c r="H1838" s="1">
        <f t="shared" ref="H1838" si="1145">SUM(H1839,H1842,H1844,H1847,H1849,H1851,H1853,H1855)</f>
        <v>1.8563293229888822</v>
      </c>
      <c r="I1838" s="1">
        <f t="shared" ref="I1838" si="1146">SUM(I1839,I1842,I1844,I1847,I1849,I1851,I1853,I1855)</f>
        <v>2.0177466790645551</v>
      </c>
      <c r="J1838" s="1">
        <f t="shared" ref="J1838" si="1147">SUM(J1839,J1842,J1844,J1847,J1849,J1851,J1853,J1855)</f>
        <v>2.1303168858659207</v>
      </c>
      <c r="K1838" s="1">
        <f t="shared" ref="K1838" si="1148">SUM(K1839,K1842,K1844,K1847,K1849,K1851,K1853,K1855)</f>
        <v>2.3595180602352892</v>
      </c>
    </row>
    <row r="1839" spans="2:11" x14ac:dyDescent="0.25">
      <c r="B1839" s="5" t="str">
        <f t="shared" si="1101"/>
        <v>SPS3</v>
      </c>
      <c r="C1839" s="5" t="str">
        <f t="shared" ref="B1839:C1839" si="1149">C1838</f>
        <v>CH</v>
      </c>
      <c r="D1839" t="s">
        <v>1881</v>
      </c>
      <c r="E1839" t="str">
        <f t="shared" si="1120"/>
        <v>GWth/yr.</v>
      </c>
      <c r="F1839" s="1">
        <f>SUM(F1840:F1841)</f>
        <v>0.65093963018801659</v>
      </c>
      <c r="G1839" s="1">
        <f t="shared" ref="G1839" si="1150">SUM(G1840:G1841)</f>
        <v>0.71893358530333851</v>
      </c>
      <c r="H1839" s="1">
        <f t="shared" ref="H1839" si="1151">SUM(H1840:H1841)</f>
        <v>0.66509583531909255</v>
      </c>
      <c r="I1839" s="1">
        <f t="shared" ref="I1839" si="1152">SUM(I1840:I1841)</f>
        <v>0.88318244717699623</v>
      </c>
      <c r="J1839" s="1">
        <f t="shared" ref="J1839" si="1153">SUM(J1840:J1841)</f>
        <v>1.1847449831674206</v>
      </c>
      <c r="K1839" s="1">
        <f t="shared" ref="K1839" si="1154">SUM(K1840:K1841)</f>
        <v>1.3279541011770126</v>
      </c>
    </row>
    <row r="1840" spans="2:11" x14ac:dyDescent="0.25">
      <c r="B1840" s="5" t="str">
        <f t="shared" si="1101"/>
        <v>SPS3</v>
      </c>
      <c r="C1840" s="5" t="str">
        <f t="shared" ref="B1840:C1840" si="1155">C1839</f>
        <v>CH</v>
      </c>
      <c r="D1840" t="s">
        <v>1882</v>
      </c>
      <c r="E1840" t="str">
        <f t="shared" si="1120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0.43758168482401777</v>
      </c>
      <c r="G1840" s="1" cm="1">
        <f t="array" ref="G1840">SUMPRODUCT(([1]OUT_FinalEnergyCons!$B$4:$B$10000="var_cap")*1,(ISNUMBER(SEARCH("RH*-WHELCBR",[1]OUT_FinalEnergyCons!$A$4:$A$10000)))*1,[1]OUT_FinalEnergyCons!E$4:E$10000)</f>
        <v>0.47180428379928246</v>
      </c>
      <c r="H1840" s="1" cm="1">
        <f t="array" ref="H1840">SUMPRODUCT(([1]OUT_FinalEnergyCons!$B$4:$B$10000="var_cap")*1,(ISNUMBER(SEARCH("RH*-WHELCBR",[1]OUT_FinalEnergyCons!$A$4:$A$10000)))*1,[1]OUT_FinalEnergyCons!F$4:F$10000)</f>
        <v>0.32892200611984856</v>
      </c>
      <c r="I1840" s="1" cm="1">
        <f t="array" ref="I1840">SUMPRODUCT(([1]OUT_FinalEnergyCons!$B$4:$B$10000="var_cap")*1,(ISNUMBER(SEARCH("RH*-WHELCBR",[1]OUT_FinalEnergyCons!$A$4:$A$10000)))*1,[1]OUT_FinalEnergyCons!G$4:G$10000)</f>
        <v>0.24380667649817278</v>
      </c>
      <c r="J1840" s="1" cm="1">
        <f t="array" ref="J1840">SUMPRODUCT(([1]OUT_FinalEnergyCons!$B$4:$B$10000="var_cap")*1,(ISNUMBER(SEARCH("RH*-WHELCBR",[1]OUT_FinalEnergyCons!$A$4:$A$10000)))*1,[1]OUT_FinalEnergyCons!H$4:H$10000)</f>
        <v>0.12916048887091991</v>
      </c>
      <c r="K1840" s="1" cm="1">
        <f t="array" ref="K1840">SUMPRODUCT(([1]OUT_FinalEnergyCons!$B$4:$B$10000="var_cap")*1,(ISNUMBER(SEARCH("RH*-WHELCBR",[1]OUT_FinalEnergyCons!$A$4:$A$10000)))*1,[1]OUT_FinalEnergyCons!I$4:I$10000)</f>
        <v>0.12755664356107071</v>
      </c>
    </row>
    <row r="1841" spans="2:11" x14ac:dyDescent="0.25">
      <c r="B1841" s="5" t="str">
        <f t="shared" si="1101"/>
        <v>SPS3</v>
      </c>
      <c r="C1841" s="5" t="str">
        <f t="shared" ref="B1841:C1841" si="1156">C1840</f>
        <v>CH</v>
      </c>
      <c r="D1841" t="s">
        <v>1883</v>
      </c>
      <c r="E1841" t="str">
        <f t="shared" si="1120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0.21335794536399882</v>
      </c>
      <c r="G1841" s="1" cm="1">
        <f t="array" ref="G1841">SUMPRODUCT(([1]OUT_FinalEnergyCons!$B$4:$B$10000="var_cap")*1,ISNUMBER(SEARCH("RH*-WHELCHP",[1]OUT_FinalEnergyCons!$A$4:$A$10000))*1,[1]OUT_FinalEnergyCons!E$4:E$10000)</f>
        <v>0.24712930150405599</v>
      </c>
      <c r="H1841" s="1" cm="1">
        <f t="array" ref="H1841">SUMPRODUCT(([1]OUT_FinalEnergyCons!$B$4:$B$10000="var_cap")*1,ISNUMBER(SEARCH("RH*-WHELCHP",[1]OUT_FinalEnergyCons!$A$4:$A$10000))*1,[1]OUT_FinalEnergyCons!F$4:F$10000)</f>
        <v>0.33617382919924399</v>
      </c>
      <c r="I1841" s="1" cm="1">
        <f t="array" ref="I1841">SUMPRODUCT(([1]OUT_FinalEnergyCons!$B$4:$B$10000="var_cap")*1,ISNUMBER(SEARCH("RH*-WHELCHP",[1]OUT_FinalEnergyCons!$A$4:$A$10000))*1,[1]OUT_FinalEnergyCons!G$4:G$10000)</f>
        <v>0.63937577067882345</v>
      </c>
      <c r="J1841" s="1" cm="1">
        <f t="array" ref="J1841">SUMPRODUCT(([1]OUT_FinalEnergyCons!$B$4:$B$10000="var_cap")*1,ISNUMBER(SEARCH("RH*-WHELCHP",[1]OUT_FinalEnergyCons!$A$4:$A$10000))*1,[1]OUT_FinalEnergyCons!H$4:H$10000)</f>
        <v>1.0555844942965007</v>
      </c>
      <c r="K1841" s="1" cm="1">
        <f t="array" ref="K1841">SUMPRODUCT(([1]OUT_FinalEnergyCons!$B$4:$B$10000="var_cap")*1,ISNUMBER(SEARCH("RH*-WHELCHP",[1]OUT_FinalEnergyCons!$A$4:$A$10000))*1,[1]OUT_FinalEnergyCons!I$4:I$10000)</f>
        <v>1.200397457615942</v>
      </c>
    </row>
    <row r="1842" spans="2:11" x14ac:dyDescent="0.25">
      <c r="B1842" s="5" t="str">
        <f t="shared" si="1101"/>
        <v>SPS3</v>
      </c>
      <c r="C1842" s="5" t="str">
        <f t="shared" ref="B1842:C1842" si="1157">C1841</f>
        <v>CH</v>
      </c>
      <c r="D1842" t="s">
        <v>1884</v>
      </c>
      <c r="E1842" t="str">
        <f t="shared" si="1120"/>
        <v>GWth/yr.</v>
      </c>
      <c r="F1842" s="1">
        <f>F1843</f>
        <v>0.47738433216181703</v>
      </c>
      <c r="G1842" s="1">
        <f t="shared" ref="G1842" si="1158">G1843</f>
        <v>0.47738091179045189</v>
      </c>
      <c r="H1842" s="1">
        <f t="shared" ref="H1842" si="1159">H1843</f>
        <v>0.31504721417532444</v>
      </c>
      <c r="I1842" s="1">
        <f t="shared" ref="I1842" si="1160">I1843</f>
        <v>0.21227942274257339</v>
      </c>
      <c r="J1842" s="1">
        <f t="shared" ref="J1842" si="1161">J1843</f>
        <v>2.7005290460249149E-2</v>
      </c>
      <c r="K1842" s="1">
        <f t="shared" ref="K1842" si="1162">K1843</f>
        <v>1.7363222920501586E-3</v>
      </c>
    </row>
    <row r="1843" spans="2:11" x14ac:dyDescent="0.25">
      <c r="B1843" s="5" t="str">
        <f t="shared" si="1101"/>
        <v>SPS3</v>
      </c>
      <c r="C1843" s="5" t="str">
        <f t="shared" ref="B1843:C1843" si="1163">C1842</f>
        <v>CH</v>
      </c>
      <c r="D1843" t="s">
        <v>1885</v>
      </c>
      <c r="E1843" t="str">
        <f t="shared" si="1120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0.47738091179045189</v>
      </c>
      <c r="H1843" s="1" cm="1">
        <f t="array" ref="H1843">SUMPRODUCT(([1]OUT_FinalEnergyCons!$B$4:$B$10000="var_cap")*1, (ISNUMBER(SEARCH("RH*-WHLFOBR",[1]OUT_FinalEnergyCons!$A$4:$A$10000)))*1,[1]OUT_FinalEnergyCons!F$4:F$10000)</f>
        <v>0.31504721417532444</v>
      </c>
      <c r="I1843" s="1" cm="1">
        <f t="array" ref="I1843">SUMPRODUCT(([1]OUT_FinalEnergyCons!$B$4:$B$10000="var_cap")*1, (ISNUMBER(SEARCH("RH*-WHLFOBR",[1]OUT_FinalEnergyCons!$A$4:$A$10000)))*1,[1]OUT_FinalEnergyCons!G$4:G$10000)</f>
        <v>0.21227942274257339</v>
      </c>
      <c r="J1843" s="1" cm="1">
        <f t="array" ref="J1843">SUMPRODUCT(([1]OUT_FinalEnergyCons!$B$4:$B$10000="var_cap")*1, (ISNUMBER(SEARCH("RH*-WHLFOBR",[1]OUT_FinalEnergyCons!$A$4:$A$10000)))*1,[1]OUT_FinalEnergyCons!H$4:H$10000)</f>
        <v>2.7005290460249149E-2</v>
      </c>
      <c r="K1843" s="1" cm="1">
        <f t="array" ref="K1843">SUMPRODUCT(([1]OUT_FinalEnergyCons!$B$4:$B$10000="var_cap")*1, (ISNUMBER(SEARCH("RH*-WHLFOBR",[1]OUT_FinalEnergyCons!$A$4:$A$10000)))*1,[1]OUT_FinalEnergyCons!I$4:I$10000)</f>
        <v>1.7363222920501586E-3</v>
      </c>
    </row>
    <row r="1844" spans="2:11" x14ac:dyDescent="0.25">
      <c r="B1844" s="5" t="str">
        <f t="shared" ref="B1844:B1907" si="1164">B1843</f>
        <v>SPS3</v>
      </c>
      <c r="C1844" s="5" t="str">
        <f t="shared" ref="B1844:C1844" si="1165">C1843</f>
        <v>CH</v>
      </c>
      <c r="D1844" t="s">
        <v>1886</v>
      </c>
      <c r="E1844" t="str">
        <f t="shared" si="1120"/>
        <v>GWth/yr.</v>
      </c>
      <c r="F1844" s="1">
        <f>SUM(F1845:F1846)</f>
        <v>0.43610075806793741</v>
      </c>
      <c r="G1844" s="1">
        <f t="shared" ref="G1844" si="1166">SUM(G1845:G1846)</f>
        <v>0.43609809399560689</v>
      </c>
      <c r="H1844" s="1">
        <f t="shared" ref="H1844" si="1167">SUM(H1845:H1846)</f>
        <v>0.47085190306521196</v>
      </c>
      <c r="I1844" s="1">
        <f t="shared" ref="I1844" si="1168">SUM(I1845:I1846)</f>
        <v>0.48984489951344712</v>
      </c>
      <c r="J1844" s="1">
        <f t="shared" ref="J1844" si="1169">SUM(J1845:J1846)</f>
        <v>0.31416362988570068</v>
      </c>
      <c r="K1844" s="1">
        <f t="shared" ref="K1844" si="1170">SUM(K1845:K1846)</f>
        <v>0.28606854930239711</v>
      </c>
    </row>
    <row r="1845" spans="2:11" x14ac:dyDescent="0.25">
      <c r="B1845" s="5" t="str">
        <f t="shared" si="1164"/>
        <v>SPS3</v>
      </c>
      <c r="C1845" s="5" t="str">
        <f t="shared" ref="B1845:C1845" si="1171">C1844</f>
        <v>CH</v>
      </c>
      <c r="D1845" t="s">
        <v>1887</v>
      </c>
      <c r="E1845" t="str">
        <f t="shared" si="1120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0.43609715104388169</v>
      </c>
      <c r="H1845" s="1" cm="1">
        <f t="array" ref="H1845">SUMPRODUCT(([1]OUT_FinalEnergyCons!$B$4:$B$10000="var_cap")*1, (ISNUMBER(SEARCH("RH*-WHNGABR",[1]OUT_FinalEnergyCons!$A$4:$A$10000)))*1,[1]OUT_FinalEnergyCons!F$4:F$10000)</f>
        <v>0.41182488942967604</v>
      </c>
      <c r="I1845" s="1" cm="1">
        <f t="array" ref="I1845">SUMPRODUCT(([1]OUT_FinalEnergyCons!$B$4:$B$10000="var_cap")*1, (ISNUMBER(SEARCH("RH*-WHNGABR",[1]OUT_FinalEnergyCons!$A$4:$A$10000)))*1,[1]OUT_FinalEnergyCons!G$4:G$10000)</f>
        <v>0.34414513301092808</v>
      </c>
      <c r="J1845" s="1" cm="1">
        <f t="array" ref="J1845">SUMPRODUCT(([1]OUT_FinalEnergyCons!$B$4:$B$10000="var_cap")*1, (ISNUMBER(SEARCH("RH*-WHNGABR",[1]OUT_FinalEnergyCons!$A$4:$A$10000)))*1,[1]OUT_FinalEnergyCons!H$4:H$10000)</f>
        <v>5.3924152160280361E-2</v>
      </c>
      <c r="K1845" s="1" cm="1">
        <f t="array" ref="K1845">SUMPRODUCT(([1]OUT_FinalEnergyCons!$B$4:$B$10000="var_cap")*1, (ISNUMBER(SEARCH("RH*-WHNGABR",[1]OUT_FinalEnergyCons!$A$4:$A$10000)))*1,[1]OUT_FinalEnergyCons!I$4:I$10000)</f>
        <v>2.8547010666376209E-2</v>
      </c>
    </row>
    <row r="1846" spans="2:11" x14ac:dyDescent="0.25">
      <c r="B1846" s="5" t="str">
        <f t="shared" si="1164"/>
        <v>SPS3</v>
      </c>
      <c r="C1846" s="5" t="str">
        <f t="shared" ref="B1846:C1846" si="1172">C1845</f>
        <v>CH</v>
      </c>
      <c r="D1846" t="s">
        <v>1888</v>
      </c>
      <c r="E1846" t="str">
        <f t="shared" si="1120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9.429517251994334E-7</v>
      </c>
      <c r="H1846" s="1" cm="1">
        <f t="array" ref="H1846">SUMPRODUCT(([1]OUT_FinalEnergyCons!$B$4:$B$10000="var_cap")*1,ISNUMBER(SEARCH("RH*-WHngahp",[1]OUT_FinalEnergyCons!$A$4:$A$10000))*1,[1]OUT_FinalEnergyCons!F$4:F$10000)</f>
        <v>5.9027013635535891E-2</v>
      </c>
      <c r="I1846" s="1" cm="1">
        <f t="array" ref="I1846">SUMPRODUCT(([1]OUT_FinalEnergyCons!$B$4:$B$10000="var_cap")*1,ISNUMBER(SEARCH("RH*-WHngahp",[1]OUT_FinalEnergyCons!$A$4:$A$10000))*1,[1]OUT_FinalEnergyCons!G$4:G$10000)</f>
        <v>0.14569976650251906</v>
      </c>
      <c r="J1846" s="1" cm="1">
        <f t="array" ref="J1846">SUMPRODUCT(([1]OUT_FinalEnergyCons!$B$4:$B$10000="var_cap")*1,ISNUMBER(SEARCH("RH*-WHngahp",[1]OUT_FinalEnergyCons!$A$4:$A$10000))*1,[1]OUT_FinalEnergyCons!H$4:H$10000)</f>
        <v>0.26023947772542033</v>
      </c>
      <c r="K1846" s="1" cm="1">
        <f t="array" ref="K1846">SUMPRODUCT(([1]OUT_FinalEnergyCons!$B$4:$B$10000="var_cap")*1,ISNUMBER(SEARCH("RH*-WHngahp",[1]OUT_FinalEnergyCons!$A$4:$A$10000))*1,[1]OUT_FinalEnergyCons!I$4:I$10000)</f>
        <v>0.2575215386360209</v>
      </c>
    </row>
    <row r="1847" spans="2:11" x14ac:dyDescent="0.25">
      <c r="B1847" s="5" t="str">
        <f t="shared" si="1164"/>
        <v>SPS3</v>
      </c>
      <c r="C1847" s="5" t="str">
        <f t="shared" ref="B1847:C1847" si="1173">C1846</f>
        <v>CH</v>
      </c>
      <c r="D1847" t="s">
        <v>1889</v>
      </c>
      <c r="E1847" t="str">
        <f t="shared" si="1120"/>
        <v>GWth/yr.</v>
      </c>
      <c r="F1847" s="1">
        <f>F1848</f>
        <v>0</v>
      </c>
      <c r="G1847" s="1">
        <f t="shared" ref="G1847" si="1174">G1848</f>
        <v>0</v>
      </c>
      <c r="H1847" s="1">
        <f t="shared" ref="H1847" si="1175">H1848</f>
        <v>0</v>
      </c>
      <c r="I1847" s="1">
        <f t="shared" ref="I1847" si="1176">I1848</f>
        <v>0</v>
      </c>
      <c r="J1847" s="1">
        <f t="shared" ref="J1847" si="1177">J1848</f>
        <v>0</v>
      </c>
      <c r="K1847" s="1">
        <f t="shared" ref="K1847" si="1178">K1848</f>
        <v>0</v>
      </c>
    </row>
    <row r="1848" spans="2:11" x14ac:dyDescent="0.25">
      <c r="B1848" s="5" t="str">
        <f t="shared" si="1164"/>
        <v>SPS3</v>
      </c>
      <c r="C1848" s="5" t="str">
        <f t="shared" ref="B1848:C1848" si="1179">C1847</f>
        <v>CH</v>
      </c>
      <c r="D1848" t="s">
        <v>1890</v>
      </c>
      <c r="E1848" t="str">
        <f t="shared" si="1120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si="1164"/>
        <v>SPS3</v>
      </c>
      <c r="C1849" s="5" t="str">
        <f t="shared" ref="B1849:C1849" si="1180">C1848</f>
        <v>CH</v>
      </c>
      <c r="D1849" t="s">
        <v>1891</v>
      </c>
      <c r="E1849" t="str">
        <f t="shared" si="1120"/>
        <v>GWth/yr.</v>
      </c>
      <c r="F1849" s="1">
        <f>F1850</f>
        <v>3.5322010722483803E-2</v>
      </c>
      <c r="G1849" s="1">
        <f t="shared" ref="G1849" si="1181">G1850</f>
        <v>4.0708415571350139E-2</v>
      </c>
      <c r="H1849" s="1">
        <f t="shared" ref="H1849" si="1182">H1850</f>
        <v>6.8330348758635057E-2</v>
      </c>
      <c r="I1849" s="1">
        <f t="shared" ref="I1849" si="1183">I1850</f>
        <v>6.8328650068065377E-2</v>
      </c>
      <c r="J1849" s="1">
        <f t="shared" ref="J1849" si="1184">J1850</f>
        <v>4.5080583240468729E-2</v>
      </c>
      <c r="K1849" s="1">
        <f t="shared" ref="K1849" si="1185">K1850</f>
        <v>2.5867364884386849E-2</v>
      </c>
    </row>
    <row r="1850" spans="2:11" x14ac:dyDescent="0.25">
      <c r="B1850" s="5" t="str">
        <f t="shared" si="1164"/>
        <v>SPS3</v>
      </c>
      <c r="C1850" s="5" t="str">
        <f t="shared" ref="B1850:C1850" si="1186">C1849</f>
        <v>CH</v>
      </c>
      <c r="D1850" t="s">
        <v>1892</v>
      </c>
      <c r="E1850" t="str">
        <f t="shared" si="1120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4.0708415571350139E-2</v>
      </c>
      <c r="H1850" s="1" cm="1">
        <f t="array" ref="H1850">SUMPRODUCT(([1]OUT_FinalEnergyCons!$B$4:$B$10000="var_cap")*1, (ISNUMBER(SEARCH("RH*-WHWODBR",[1]OUT_FinalEnergyCons!$A$4:$A$10000)))*1,[1]OUT_FinalEnergyCons!F$4:F$10000)</f>
        <v>6.8330348758635057E-2</v>
      </c>
      <c r="I1850" s="1" cm="1">
        <f t="array" ref="I1850">SUMPRODUCT(([1]OUT_FinalEnergyCons!$B$4:$B$10000="var_cap")*1, (ISNUMBER(SEARCH("RH*-WHWODBR",[1]OUT_FinalEnergyCons!$A$4:$A$10000)))*1,[1]OUT_FinalEnergyCons!G$4:G$10000)</f>
        <v>6.8328650068065377E-2</v>
      </c>
      <c r="J1850" s="1" cm="1">
        <f t="array" ref="J1850">SUMPRODUCT(([1]OUT_FinalEnergyCons!$B$4:$B$10000="var_cap")*1, (ISNUMBER(SEARCH("RH*-WHWODBR",[1]OUT_FinalEnergyCons!$A$4:$A$10000)))*1,[1]OUT_FinalEnergyCons!H$4:H$10000)</f>
        <v>4.5080583240468729E-2</v>
      </c>
      <c r="K1850" s="1" cm="1">
        <f t="array" ref="K1850">SUMPRODUCT(([1]OUT_FinalEnergyCons!$B$4:$B$10000="var_cap")*1, (ISNUMBER(SEARCH("RH*-WHWODBR",[1]OUT_FinalEnergyCons!$A$4:$A$10000)))*1,[1]OUT_FinalEnergyCons!I$4:I$10000)</f>
        <v>2.5867364884386849E-2</v>
      </c>
    </row>
    <row r="1851" spans="2:11" x14ac:dyDescent="0.25">
      <c r="B1851" s="5" t="str">
        <f t="shared" si="1164"/>
        <v>SPS3</v>
      </c>
      <c r="C1851" s="5" t="str">
        <f t="shared" ref="B1851:C1851" si="1187">C1850</f>
        <v>CH</v>
      </c>
      <c r="D1851" t="s">
        <v>1893</v>
      </c>
      <c r="E1851" t="str">
        <f t="shared" si="1120"/>
        <v>GWth/yr.</v>
      </c>
      <c r="F1851" s="1">
        <f>F1852</f>
        <v>1.12410901121583E-2</v>
      </c>
      <c r="G1851" s="1">
        <f t="shared" ref="G1851" si="1188">G1852</f>
        <v>1.2924418584921842E-2</v>
      </c>
      <c r="H1851" s="1">
        <f t="shared" ref="H1851" si="1189">H1852</f>
        <v>3.4115972448853903E-3</v>
      </c>
      <c r="I1851" s="1">
        <f t="shared" ref="I1851" si="1190">I1852</f>
        <v>3.2009074914711704E-3</v>
      </c>
      <c r="J1851" s="1">
        <f t="shared" ref="J1851" si="1191">J1852</f>
        <v>1.5982494781804583E-3</v>
      </c>
      <c r="K1851" s="1">
        <f t="shared" ref="K1851" si="1192">K1852</f>
        <v>8.8886407884214208E-4</v>
      </c>
    </row>
    <row r="1852" spans="2:11" x14ac:dyDescent="0.25">
      <c r="B1852" s="5" t="str">
        <f t="shared" si="1164"/>
        <v>SPS3</v>
      </c>
      <c r="C1852" s="5" t="str">
        <f t="shared" ref="B1852:C1852" si="1193">C1851</f>
        <v>CH</v>
      </c>
      <c r="D1852" t="s">
        <v>1894</v>
      </c>
      <c r="E1852" t="str">
        <f t="shared" si="1120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1.2924418584921842E-2</v>
      </c>
      <c r="H1852" s="1" cm="1">
        <f t="array" ref="H1852">SUMPRODUCT(([1]OUT_FinalEnergyCons!$B$4:$B$10000="var_cap")*1, (ISNUMBER(SEARCH("RH*-WHPLTBR",[1]OUT_FinalEnergyCons!$A$4:$A$10000)))*1,[1]OUT_FinalEnergyCons!F$4:F$10000)</f>
        <v>3.4115972448853903E-3</v>
      </c>
      <c r="I1852" s="1" cm="1">
        <f t="array" ref="I1852">SUMPRODUCT(([1]OUT_FinalEnergyCons!$B$4:$B$10000="var_cap")*1, (ISNUMBER(SEARCH("RH*-WHPLTBR",[1]OUT_FinalEnergyCons!$A$4:$A$10000)))*1,[1]OUT_FinalEnergyCons!G$4:G$10000)</f>
        <v>3.2009074914711704E-3</v>
      </c>
      <c r="J1852" s="1" cm="1">
        <f t="array" ref="J1852">SUMPRODUCT(([1]OUT_FinalEnergyCons!$B$4:$B$10000="var_cap")*1, (ISNUMBER(SEARCH("RH*-WHPLTBR",[1]OUT_FinalEnergyCons!$A$4:$A$10000)))*1,[1]OUT_FinalEnergyCons!H$4:H$10000)</f>
        <v>1.5982494781804583E-3</v>
      </c>
      <c r="K1852" s="1" cm="1">
        <f t="array" ref="K1852">SUMPRODUCT(([1]OUT_FinalEnergyCons!$B$4:$B$10000="var_cap")*1, (ISNUMBER(SEARCH("RH*-WHPLTBR",[1]OUT_FinalEnergyCons!$A$4:$A$10000)))*1,[1]OUT_FinalEnergyCons!I$4:I$10000)</f>
        <v>8.8886407884214208E-4</v>
      </c>
    </row>
    <row r="1853" spans="2:11" x14ac:dyDescent="0.25">
      <c r="B1853" s="5" t="str">
        <f t="shared" si="1164"/>
        <v>SPS3</v>
      </c>
      <c r="C1853" s="5" t="str">
        <f t="shared" ref="B1853:C1853" si="1194">C1852</f>
        <v>CH</v>
      </c>
      <c r="D1853" t="s">
        <v>1895</v>
      </c>
      <c r="E1853" t="str">
        <f t="shared" si="1120"/>
        <v>GWth/yr.</v>
      </c>
      <c r="F1853" s="1">
        <f>F1854</f>
        <v>0.25000991745774798</v>
      </c>
      <c r="G1853" s="1">
        <f t="shared" ref="G1853" si="1195">G1854</f>
        <v>0.33359118370429203</v>
      </c>
      <c r="H1853" s="1">
        <f t="shared" ref="H1853" si="1196">H1854</f>
        <v>0.33359242442573267</v>
      </c>
      <c r="I1853" s="1">
        <f t="shared" ref="I1853" si="1197">I1854</f>
        <v>0.36091035207200212</v>
      </c>
      <c r="J1853" s="1">
        <f t="shared" ref="J1853" si="1198">J1854</f>
        <v>0.55772414963390105</v>
      </c>
      <c r="K1853" s="1">
        <f t="shared" ref="K1853" si="1199">K1854</f>
        <v>0.7170028585006003</v>
      </c>
    </row>
    <row r="1854" spans="2:11" x14ac:dyDescent="0.25">
      <c r="B1854" s="5" t="str">
        <f t="shared" si="1164"/>
        <v>SPS3</v>
      </c>
      <c r="C1854" s="5" t="str">
        <f t="shared" ref="B1854:C1854" si="1200">C1853</f>
        <v>CH</v>
      </c>
      <c r="D1854" t="s">
        <v>1896</v>
      </c>
      <c r="E1854" t="str">
        <f t="shared" si="1120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0.33359118370429203</v>
      </c>
      <c r="H1854" s="1" cm="1">
        <f t="array" ref="H1854">SUMPRODUCT(([1]OUT_FinalEnergyCons!$B$4:$B$10000="var_cap")*1, (ISNUMBER(SEARCH("RH*-WHSOLBR",[1]OUT_FinalEnergyCons!$A$4:$A$10000)))*1,[1]OUT_FinalEnergyCons!F$4:F$10000)</f>
        <v>0.33359242442573267</v>
      </c>
      <c r="I1854" s="1" cm="1">
        <f t="array" ref="I1854">SUMPRODUCT(([1]OUT_FinalEnergyCons!$B$4:$B$10000="var_cap")*1, (ISNUMBER(SEARCH("RH*-WHSOLBR",[1]OUT_FinalEnergyCons!$A$4:$A$10000)))*1,[1]OUT_FinalEnergyCons!G$4:G$10000)</f>
        <v>0.36091035207200212</v>
      </c>
      <c r="J1854" s="1" cm="1">
        <f t="array" ref="J1854">SUMPRODUCT(([1]OUT_FinalEnergyCons!$B$4:$B$10000="var_cap")*1, (ISNUMBER(SEARCH("RH*-WHSOLBR",[1]OUT_FinalEnergyCons!$A$4:$A$10000)))*1,[1]OUT_FinalEnergyCons!H$4:H$10000)</f>
        <v>0.55772414963390105</v>
      </c>
      <c r="K1854" s="1" cm="1">
        <f t="array" ref="K1854">SUMPRODUCT(([1]OUT_FinalEnergyCons!$B$4:$B$10000="var_cap")*1, (ISNUMBER(SEARCH("RH*-WHSOLBR",[1]OUT_FinalEnergyCons!$A$4:$A$10000)))*1,[1]OUT_FinalEnergyCons!I$4:I$10000)</f>
        <v>0.7170028585006003</v>
      </c>
    </row>
    <row r="1855" spans="2:11" x14ac:dyDescent="0.25">
      <c r="B1855" s="5" t="str">
        <f t="shared" si="1164"/>
        <v>SPS3</v>
      </c>
      <c r="C1855" s="5" t="str">
        <f t="shared" ref="B1855:C1855" si="1201">C1854</f>
        <v>CH</v>
      </c>
      <c r="D1855" t="s">
        <v>1897</v>
      </c>
      <c r="E1855" t="str">
        <f t="shared" si="1120"/>
        <v>GWth/yr.</v>
      </c>
      <c r="F1855" s="1">
        <f>F1856</f>
        <v>0</v>
      </c>
      <c r="G1855" s="1">
        <f t="shared" ref="G1855" si="1202">G1856</f>
        <v>0</v>
      </c>
      <c r="H1855" s="1">
        <f t="shared" ref="H1855" si="1203">H1856</f>
        <v>0</v>
      </c>
      <c r="I1855" s="1">
        <f t="shared" ref="I1855" si="1204">I1856</f>
        <v>0</v>
      </c>
      <c r="J1855" s="1">
        <f t="shared" ref="J1855" si="1205">J1856</f>
        <v>0</v>
      </c>
      <c r="K1855" s="1">
        <f t="shared" ref="K1855" si="1206">K1856</f>
        <v>0</v>
      </c>
    </row>
    <row r="1856" spans="2:11" x14ac:dyDescent="0.25">
      <c r="B1856" s="5" t="str">
        <f t="shared" si="1164"/>
        <v>SPS3</v>
      </c>
      <c r="C1856" s="5" t="str">
        <f t="shared" ref="B1856:C1860" si="1207">C1855</f>
        <v>CH</v>
      </c>
      <c r="D1856" t="s">
        <v>1898</v>
      </c>
      <c r="E1856" t="str">
        <f t="shared" si="1120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164"/>
        <v>SPS3</v>
      </c>
      <c r="C1857" s="9" t="str">
        <f t="shared" si="1207"/>
        <v>CH</v>
      </c>
      <c r="D1857" s="2" t="s">
        <v>1900</v>
      </c>
      <c r="E1857" s="9" t="str">
        <f t="shared" si="1120"/>
        <v>GWth/yr.</v>
      </c>
      <c r="F1857" s="17">
        <f>SUM(F1858,F1861,F1864,F1868,F1870,F1872,F1874,F1876,F1878)</f>
        <v>3.6005641364904903</v>
      </c>
      <c r="G1857" s="17">
        <f t="shared" ref="G1857:K1857" si="1208">SUM(G1858,G1861,G1864,G1868,G1870,G1872,G1874,G1876,G1878)</f>
        <v>3.6669873353627889</v>
      </c>
      <c r="H1857" s="17">
        <f t="shared" si="1208"/>
        <v>3.8577742116800242</v>
      </c>
      <c r="I1857" s="17">
        <f t="shared" si="1208"/>
        <v>4.1418040484062786</v>
      </c>
      <c r="J1857" s="17">
        <f t="shared" si="1208"/>
        <v>3.380548103287401</v>
      </c>
      <c r="K1857" s="17">
        <f t="shared" si="1208"/>
        <v>2.598383746268365</v>
      </c>
    </row>
    <row r="1858" spans="2:11" x14ac:dyDescent="0.25">
      <c r="B1858" s="5" t="str">
        <f t="shared" si="1164"/>
        <v>SPS3</v>
      </c>
      <c r="C1858" s="5" t="str">
        <f t="shared" si="1207"/>
        <v>CH</v>
      </c>
      <c r="D1858" t="s">
        <v>2094</v>
      </c>
      <c r="E1858" t="str">
        <f t="shared" si="1120"/>
        <v>GWth/yr.</v>
      </c>
      <c r="F1858" s="18">
        <f>SUM(F1859:F1860)</f>
        <v>0.61671309762324311</v>
      </c>
      <c r="G1858" s="18">
        <f t="shared" ref="G1858:K1858" si="1209">SUM(G1859:G1860)</f>
        <v>0.7876055738432084</v>
      </c>
      <c r="H1858" s="18">
        <f t="shared" si="1209"/>
        <v>1.1334088526502035</v>
      </c>
      <c r="I1858" s="18">
        <f t="shared" si="1209"/>
        <v>1.3035584764934818</v>
      </c>
      <c r="J1858" s="18">
        <f t="shared" si="1209"/>
        <v>1.3379839097874884</v>
      </c>
      <c r="K1858" s="18">
        <f t="shared" si="1209"/>
        <v>1.3360814508612087</v>
      </c>
    </row>
    <row r="1859" spans="2:11" x14ac:dyDescent="0.25">
      <c r="B1859" s="5" t="str">
        <f t="shared" si="1164"/>
        <v>SPS3</v>
      </c>
      <c r="C1859" s="5" t="str">
        <f t="shared" si="1207"/>
        <v>CH</v>
      </c>
      <c r="D1859" t="s">
        <v>2095</v>
      </c>
      <c r="E1859" t="str">
        <f t="shared" si="1120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0.71124308707709227</v>
      </c>
      <c r="H1859" s="1" cm="1">
        <f t="array" ref="H1859">SUMPRODUCT(([1]OUT_FinalEnergyCons!$B$4:$B$10000="Var_cap")*1,  (ISNUMBER(SEARCH("ITOT-SWHELCBR",[1]OUT_FinalEnergyCons!$A$4:$A$10000)))*1,[1]OUT_FinalEnergyCons!F$4:F$10000)</f>
        <v>0.93921591198466392</v>
      </c>
      <c r="I1859" s="1" cm="1">
        <f t="array" ref="I1859">SUMPRODUCT(([1]OUT_FinalEnergyCons!$B$4:$B$10000="Var_cap")*1,  (ISNUMBER(SEARCH("ITOT-SWHELCBR",[1]OUT_FinalEnergyCons!$A$4:$A$10000)))*1,[1]OUT_FinalEnergyCons!G$4:G$10000)</f>
        <v>0.98919020481502884</v>
      </c>
      <c r="J1859" s="1" cm="1">
        <f t="array" ref="J1859">SUMPRODUCT(([1]OUT_FinalEnergyCons!$B$4:$B$10000="Var_cap")*1,  (ISNUMBER(SEARCH("ITOT-SWHELCBR",[1]OUT_FinalEnergyCons!$A$4:$A$10000)))*1,[1]OUT_FinalEnergyCons!H$4:H$10000)</f>
        <v>1.0213613738087304</v>
      </c>
      <c r="K1859" s="1" cm="1">
        <f t="array" ref="K1859">SUMPRODUCT(([1]OUT_FinalEnergyCons!$B$4:$B$10000="Var_cap")*1,  (ISNUMBER(SEARCH("ITOT-SWHELCBR",[1]OUT_FinalEnergyCons!$A$4:$A$10000)))*1,[1]OUT_FinalEnergyCons!I$4:I$10000)</f>
        <v>1.019743388542679</v>
      </c>
    </row>
    <row r="1860" spans="2:11" x14ac:dyDescent="0.25">
      <c r="B1860" s="5" t="str">
        <f t="shared" si="1164"/>
        <v>SPS3</v>
      </c>
      <c r="C1860" s="5" t="str">
        <f t="shared" si="1207"/>
        <v>CH</v>
      </c>
      <c r="D1860" t="s">
        <v>2096</v>
      </c>
      <c r="E1860" t="str">
        <f t="shared" si="1120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7.6362486766116081E-2</v>
      </c>
      <c r="H1860" s="1" cm="1">
        <f t="array" ref="H1860">SUMPRODUCT(([1]OUT_FinalEnergyCons!$B$4:$B$10000="Var_cap")*1,  (ISNUMBER(SEARCH("ITOT-SWHELCHP",[1]OUT_FinalEnergyCons!$A$4:$A$10000)))*1,[1]OUT_FinalEnergyCons!F$4:F$10000)</f>
        <v>0.19419294066553955</v>
      </c>
      <c r="I1860" s="1" cm="1">
        <f t="array" ref="I1860">SUMPRODUCT(([1]OUT_FinalEnergyCons!$B$4:$B$10000="Var_cap")*1,  (ISNUMBER(SEARCH("ITOT-SWHELCHP",[1]OUT_FinalEnergyCons!$A$4:$A$10000)))*1,[1]OUT_FinalEnergyCons!G$4:G$10000)</f>
        <v>0.31436827167845299</v>
      </c>
      <c r="J1860" s="1" cm="1">
        <f t="array" ref="J1860">SUMPRODUCT(([1]OUT_FinalEnergyCons!$B$4:$B$10000="Var_cap")*1,  (ISNUMBER(SEARCH("ITOT-SWHELCHP",[1]OUT_FinalEnergyCons!$A$4:$A$10000)))*1,[1]OUT_FinalEnergyCons!H$4:H$10000)</f>
        <v>0.31662253597875795</v>
      </c>
      <c r="K1860" s="1" cm="1">
        <f t="array" ref="K1860">SUMPRODUCT(([1]OUT_FinalEnergyCons!$B$4:$B$10000="Var_cap")*1,  (ISNUMBER(SEARCH("ITOT-SWHELCHP",[1]OUT_FinalEnergyCons!$A$4:$A$10000)))*1,[1]OUT_FinalEnergyCons!I$4:I$10000)</f>
        <v>0.31633806231852968</v>
      </c>
    </row>
    <row r="1861" spans="2:11" x14ac:dyDescent="0.25">
      <c r="B1861" s="5" t="str">
        <f t="shared" si="1164"/>
        <v>SPS3</v>
      </c>
      <c r="C1861" s="5" t="str">
        <f>C1860</f>
        <v>CH</v>
      </c>
      <c r="D1861" t="s">
        <v>2097</v>
      </c>
      <c r="E1861" t="str">
        <f t="shared" si="1120"/>
        <v>GWth/yr.</v>
      </c>
      <c r="F1861" s="18">
        <f>SUM(F1862:F1863)</f>
        <v>0.47748483054112106</v>
      </c>
      <c r="G1861" s="18">
        <f t="shared" ref="G1861:K1861" si="1210">SUM(G1862:G1863)</f>
        <v>0.37650077987741565</v>
      </c>
      <c r="H1861" s="18">
        <f t="shared" si="1210"/>
        <v>0.37653584140941515</v>
      </c>
      <c r="I1861" s="18">
        <f t="shared" si="1210"/>
        <v>0.35708481879408649</v>
      </c>
      <c r="J1861" s="18">
        <f t="shared" si="1210"/>
        <v>0.16993263233145883</v>
      </c>
      <c r="K1861" s="18">
        <f t="shared" si="1210"/>
        <v>1.2695494751207423E-2</v>
      </c>
    </row>
    <row r="1862" spans="2:11" x14ac:dyDescent="0.25">
      <c r="B1862" s="5" t="str">
        <f t="shared" si="1164"/>
        <v>SPS3</v>
      </c>
      <c r="C1862" s="5" t="str">
        <f t="shared" ref="C1862:C1879" si="1211">C1861</f>
        <v>CH</v>
      </c>
      <c r="D1862" t="s">
        <v>2098</v>
      </c>
      <c r="E1862" t="str">
        <f t="shared" si="1120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0.37643217781007415</v>
      </c>
      <c r="H1862" s="1" cm="1">
        <f t="array" ref="H1862">SUMPRODUCT(([1]OUT_FinalEnergyCons!$B$4:$B$10000="Var_cap")*1,  (ISNUMBER(SEARCH("ITOT-SWHLFOBR",[1]OUT_FinalEnergyCons!$A$4:$A$10000)))*1,[1]OUT_FinalEnergyCons!F$4:F$10000)</f>
        <v>0.37644540427814505</v>
      </c>
      <c r="I1862" s="1" cm="1">
        <f t="array" ref="I1862">SUMPRODUCT(([1]OUT_FinalEnergyCons!$B$4:$B$10000="Var_cap")*1,  (ISNUMBER(SEARCH("ITOT-SWHLFOBR",[1]OUT_FinalEnergyCons!$A$4:$A$10000)))*1,[1]OUT_FinalEnergyCons!G$4:G$10000)</f>
        <v>0.35693161508191196</v>
      </c>
      <c r="J1862" s="1" cm="1">
        <f t="array" ref="J1862">SUMPRODUCT(([1]OUT_FinalEnergyCons!$B$4:$B$10000="Var_cap")*1,  (ISNUMBER(SEARCH("ITOT-SWHLFOBR",[1]OUT_FinalEnergyCons!$A$4:$A$10000)))*1,[1]OUT_FinalEnergyCons!H$4:H$10000)</f>
        <v>0.16990897433019725</v>
      </c>
      <c r="K1862" s="1" cm="1">
        <f t="array" ref="K1862">SUMPRODUCT(([1]OUT_FinalEnergyCons!$B$4:$B$10000="Var_cap")*1,  (ISNUMBER(SEARCH("ITOT-SWHLFOBR",[1]OUT_FinalEnergyCons!$A$4:$A$10000)))*1,[1]OUT_FinalEnergyCons!I$4:I$10000)</f>
        <v>1.2696772974569503E-2</v>
      </c>
    </row>
    <row r="1863" spans="2:11" x14ac:dyDescent="0.25">
      <c r="B1863" s="5" t="str">
        <f t="shared" si="1164"/>
        <v>SPS3</v>
      </c>
      <c r="C1863" s="5" t="str">
        <f t="shared" si="1211"/>
        <v>CH</v>
      </c>
      <c r="D1863" t="s">
        <v>2099</v>
      </c>
      <c r="E1863" t="str">
        <f t="shared" si="1120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0.10114939091028909</v>
      </c>
      <c r="G1863" s="1" cm="1">
        <f t="array" ref="G1863">SUMPRODUCT(([1]OUT_FinalEnergyCons!$B$4:$B$10000="Var_cap")*1,  (ISNUMBER(SEARCH("ITOT-SWHHFOBR",[1]OUT_FinalEnergyCons!$A$4:$A$10000)))*1,[1]OUT_FinalEnergyCons!E$4:E$10000)</f>
        <v>6.8602067341494433E-5</v>
      </c>
      <c r="H1863" s="1" cm="1">
        <f t="array" ref="H1863">SUMPRODUCT(([1]OUT_FinalEnergyCons!$B$4:$B$10000="Var_cap")*1,  (ISNUMBER(SEARCH("ITOT-SWHHFOBR",[1]OUT_FinalEnergyCons!$A$4:$A$10000)))*1,[1]OUT_FinalEnergyCons!F$4:F$10000)</f>
        <v>9.0437131270118543E-5</v>
      </c>
      <c r="I1863" s="1" cm="1">
        <f t="array" ref="I1863">SUMPRODUCT(([1]OUT_FinalEnergyCons!$B$4:$B$10000="Var_cap")*1,  (ISNUMBER(SEARCH("ITOT-SWHHFOBR",[1]OUT_FinalEnergyCons!$A$4:$A$10000)))*1,[1]OUT_FinalEnergyCons!G$4:G$10000)</f>
        <v>1.5320371217450446E-4</v>
      </c>
      <c r="J1863" s="1" cm="1">
        <f t="array" ref="J1863">SUMPRODUCT(([1]OUT_FinalEnergyCons!$B$4:$B$10000="Var_cap")*1,  (ISNUMBER(SEARCH("ITOT-SWHHFOBR",[1]OUT_FinalEnergyCons!$A$4:$A$10000)))*1,[1]OUT_FinalEnergyCons!H$4:H$10000)</f>
        <v>2.3658001261580598E-5</v>
      </c>
      <c r="K1863" s="1" cm="1">
        <f t="array" ref="K1863">SUMPRODUCT(([1]OUT_FinalEnergyCons!$B$4:$B$10000="Var_cap")*1,  (ISNUMBER(SEARCH("ITOT-SWHHFOBR",[1]OUT_FinalEnergyCons!$A$4:$A$10000)))*1,[1]OUT_FinalEnergyCons!I$4:I$10000)</f>
        <v>-1.2782233620801985E-6</v>
      </c>
    </row>
    <row r="1864" spans="2:11" x14ac:dyDescent="0.25">
      <c r="B1864" s="5" t="str">
        <f t="shared" si="1164"/>
        <v>SPS3</v>
      </c>
      <c r="C1864" s="5" t="str">
        <f t="shared" si="1211"/>
        <v>CH</v>
      </c>
      <c r="D1864" t="s">
        <v>2100</v>
      </c>
      <c r="E1864" t="str">
        <f t="shared" si="1120"/>
        <v>GWth/yr.</v>
      </c>
      <c r="F1864" s="18">
        <f>SUM(F1865:F1866)</f>
        <v>1.556581895256</v>
      </c>
      <c r="G1864" s="18">
        <f t="shared" ref="G1864:K1864" si="1212">SUM(G1865:G1866)</f>
        <v>1.5569897707578499</v>
      </c>
      <c r="H1864" s="18">
        <f t="shared" si="1212"/>
        <v>1.5569661976526754</v>
      </c>
      <c r="I1864" s="18">
        <f t="shared" si="1212"/>
        <v>0.78543960402761759</v>
      </c>
      <c r="J1864" s="18">
        <f t="shared" si="1212"/>
        <v>0.21037413228839696</v>
      </c>
      <c r="K1864" s="18">
        <f t="shared" si="1212"/>
        <v>5.0508761029943445E-4</v>
      </c>
    </row>
    <row r="1865" spans="2:11" x14ac:dyDescent="0.25">
      <c r="B1865" s="5" t="str">
        <f t="shared" si="1164"/>
        <v>SPS3</v>
      </c>
      <c r="C1865" s="5" t="str">
        <f t="shared" si="1211"/>
        <v>CH</v>
      </c>
      <c r="D1865" t="s">
        <v>2101</v>
      </c>
      <c r="E1865" t="str">
        <f t="shared" si="1120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1.5565857861712147</v>
      </c>
      <c r="H1865" s="1" cm="1">
        <f t="array" ref="H1865">SUMPRODUCT(([1]OUT_FinalEnergyCons!$B$4:$B$10000="Var_cap")*1,  (ISNUMBER(SEARCH("ITOT-SWHNGA*BR",[1]OUT_FinalEnergyCons!$A$4:$A$10000)))*1,[1]OUT_FinalEnergyCons!F$4:F$10000)</f>
        <v>1.5565570785746556</v>
      </c>
      <c r="I1865" s="1" cm="1">
        <f t="array" ref="I1865">SUMPRODUCT(([1]OUT_FinalEnergyCons!$B$4:$B$10000="Var_cap")*1,  (ISNUMBER(SEARCH("ITOT-SWHNGA*BR",[1]OUT_FinalEnergyCons!$A$4:$A$10000)))*1,[1]OUT_FinalEnergyCons!G$4:G$10000)</f>
        <v>0.78502908692919449</v>
      </c>
      <c r="J1865" s="1" cm="1">
        <f t="array" ref="J1865">SUMPRODUCT(([1]OUT_FinalEnergyCons!$B$4:$B$10000="Var_cap")*1,  (ISNUMBER(SEARCH("ITOT-SWHNGA*BR",[1]OUT_FinalEnergyCons!$A$4:$A$10000)))*1,[1]OUT_FinalEnergyCons!H$4:H$10000)</f>
        <v>0.2099323944632884</v>
      </c>
      <c r="K1865" s="1" cm="1">
        <f t="array" ref="K1865">SUMPRODUCT(([1]OUT_FinalEnergyCons!$B$4:$B$10000="Var_cap")*1,  (ISNUMBER(SEARCH("ITOT-SWHNGA*BR",[1]OUT_FinalEnergyCons!$A$4:$A$10000)))*1,[1]OUT_FinalEnergyCons!I$4:I$10000)</f>
        <v>7.9096723341900987E-5</v>
      </c>
    </row>
    <row r="1866" spans="2:11" x14ac:dyDescent="0.25">
      <c r="B1866" s="5" t="str">
        <f t="shared" si="1164"/>
        <v>SPS3</v>
      </c>
      <c r="C1866" s="5" t="str">
        <f t="shared" si="1211"/>
        <v>CH</v>
      </c>
      <c r="D1866" t="s">
        <v>2102</v>
      </c>
      <c r="E1866" t="str">
        <f t="shared" si="1120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4.0398458663536298E-4</v>
      </c>
      <c r="H1866" s="1" cm="1">
        <f t="array" ref="H1866">SUMPRODUCT(([1]OUT_FinalEnergyCons!$B$4:$B$10000="Var_cap")*1,  (ISNUMBER(SEARCH("ITOT-SWHNGAHP",[1]OUT_FinalEnergyCons!$A$4:$A$10000)))*1,[1]OUT_FinalEnergyCons!F$4:F$10000)</f>
        <v>4.0911907801969677E-4</v>
      </c>
      <c r="I1866" s="1" cm="1">
        <f t="array" ref="I1866">SUMPRODUCT(([1]OUT_FinalEnergyCons!$B$4:$B$10000="Var_cap")*1,  (ISNUMBER(SEARCH("ITOT-SWHNGAHP",[1]OUT_FinalEnergyCons!$A$4:$A$10000)))*1,[1]OUT_FinalEnergyCons!G$4:G$10000)</f>
        <v>4.1051709842306321E-4</v>
      </c>
      <c r="J1866" s="1" cm="1">
        <f t="array" ref="J1866">SUMPRODUCT(([1]OUT_FinalEnergyCons!$B$4:$B$10000="Var_cap")*1,  (ISNUMBER(SEARCH("ITOT-SWHNGAHP",[1]OUT_FinalEnergyCons!$A$4:$A$10000)))*1,[1]OUT_FinalEnergyCons!H$4:H$10000)</f>
        <v>4.4173782510855954E-4</v>
      </c>
      <c r="K1866" s="1" cm="1">
        <f t="array" ref="K1866">SUMPRODUCT(([1]OUT_FinalEnergyCons!$B$4:$B$10000="Var_cap")*1,  (ISNUMBER(SEARCH("ITOT-SWHNGAHP",[1]OUT_FinalEnergyCons!$A$4:$A$10000)))*1,[1]OUT_FinalEnergyCons!I$4:I$10000)</f>
        <v>4.2599088695753347E-4</v>
      </c>
    </row>
    <row r="1867" spans="2:11" x14ac:dyDescent="0.25">
      <c r="B1867" s="5" t="str">
        <f t="shared" si="1164"/>
        <v>SPS3</v>
      </c>
      <c r="C1867" s="5" t="str">
        <f t="shared" si="1211"/>
        <v>CH</v>
      </c>
      <c r="D1867" t="s">
        <v>2103</v>
      </c>
      <c r="E1867" t="str">
        <f t="shared" si="1120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3.4977149243269848E-2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0.13408138570229172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0.13421207762236895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0.39861763438464887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0.35791117589811267</v>
      </c>
    </row>
    <row r="1868" spans="2:11" x14ac:dyDescent="0.25">
      <c r="B1868" s="5" t="str">
        <f t="shared" si="1164"/>
        <v>SPS3</v>
      </c>
      <c r="C1868" s="5" t="str">
        <f t="shared" si="1211"/>
        <v>CH</v>
      </c>
      <c r="D1868" t="s">
        <v>2104</v>
      </c>
      <c r="E1868" t="str">
        <f t="shared" si="1120"/>
        <v>GWth/yr.</v>
      </c>
      <c r="F1868" s="1">
        <f>F1869</f>
        <v>0.26172155007150499</v>
      </c>
      <c r="G1868" s="1">
        <f t="shared" ref="G1868:K1868" si="1213">G1869</f>
        <v>0.15142718086741175</v>
      </c>
      <c r="H1868" s="1">
        <f t="shared" si="1213"/>
        <v>1.3437915615827078E-4</v>
      </c>
      <c r="I1868" s="1">
        <f t="shared" si="1213"/>
        <v>0.11004388801520698</v>
      </c>
      <c r="J1868" s="1">
        <f t="shared" si="1213"/>
        <v>1.7542033669798451E-5</v>
      </c>
      <c r="K1868" s="1">
        <f t="shared" si="1213"/>
        <v>1.3959659056791739E-5</v>
      </c>
    </row>
    <row r="1869" spans="2:11" x14ac:dyDescent="0.25">
      <c r="B1869" s="5" t="str">
        <f t="shared" si="1164"/>
        <v>SPS3</v>
      </c>
      <c r="C1869" s="5" t="str">
        <f t="shared" si="1211"/>
        <v>CH</v>
      </c>
      <c r="D1869" t="s">
        <v>2105</v>
      </c>
      <c r="E1869" t="str">
        <f t="shared" si="1120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0.15142718086741175</v>
      </c>
      <c r="H1869" s="1" cm="1">
        <f t="array" ref="H1869">SUMPRODUCT(([1]OUT_FinalEnergyCons!$B$4:$B$10000="Var_cap")*1,  (ISNUMBER(SEARCH("ITOT-SWHCOA*BR",[1]OUT_FinalEnergyCons!$A$4:$A$10000)))*1,[1]OUT_FinalEnergyCons!F$4:F$10000)</f>
        <v>1.3437915615827078E-4</v>
      </c>
      <c r="I1869" s="1" cm="1">
        <f t="array" ref="I1869">SUMPRODUCT(([1]OUT_FinalEnergyCons!$B$4:$B$10000="Var_cap")*1,  (ISNUMBER(SEARCH("ITOT-SWHCOA*BR",[1]OUT_FinalEnergyCons!$A$4:$A$10000)))*1,[1]OUT_FinalEnergyCons!G$4:G$10000)</f>
        <v>0.11004388801520698</v>
      </c>
      <c r="J1869" s="1" cm="1">
        <f t="array" ref="J1869">SUMPRODUCT(([1]OUT_FinalEnergyCons!$B$4:$B$10000="Var_cap")*1,  (ISNUMBER(SEARCH("ITOT-SWHCOA*BR",[1]OUT_FinalEnergyCons!$A$4:$A$10000)))*1,[1]OUT_FinalEnergyCons!H$4:H$10000)</f>
        <v>1.7542033669798451E-5</v>
      </c>
      <c r="K1869" s="1" cm="1">
        <f t="array" ref="K1869">SUMPRODUCT(([1]OUT_FinalEnergyCons!$B$4:$B$10000="Var_cap")*1,  (ISNUMBER(SEARCH("ITOT-SWHCOA*BR",[1]OUT_FinalEnergyCons!$A$4:$A$10000)))*1,[1]OUT_FinalEnergyCons!I$4:I$10000)</f>
        <v>1.3959659056791739E-5</v>
      </c>
    </row>
    <row r="1870" spans="2:11" x14ac:dyDescent="0.25">
      <c r="B1870" s="5" t="str">
        <f t="shared" si="1164"/>
        <v>SPS3</v>
      </c>
      <c r="C1870" s="5" t="str">
        <f t="shared" si="1211"/>
        <v>CH</v>
      </c>
      <c r="D1870" t="s">
        <v>2106</v>
      </c>
      <c r="E1870" t="str">
        <f t="shared" si="1120"/>
        <v>GWth/yr.</v>
      </c>
      <c r="F1870" s="1">
        <f>F1871</f>
        <v>0.28883369534761499</v>
      </c>
      <c r="G1870" s="1">
        <f t="shared" ref="G1870:K1870" si="1214">G1871</f>
        <v>0.34152808751972386</v>
      </c>
      <c r="H1870" s="1">
        <f t="shared" si="1214"/>
        <v>0.34164361594987946</v>
      </c>
      <c r="I1870" s="1">
        <f t="shared" si="1214"/>
        <v>0.3415902248801434</v>
      </c>
      <c r="J1870" s="1">
        <f t="shared" si="1214"/>
        <v>0.55336380097510063</v>
      </c>
      <c r="K1870" s="1">
        <f t="shared" si="1214"/>
        <v>0.30854534880717038</v>
      </c>
    </row>
    <row r="1871" spans="2:11" x14ac:dyDescent="0.25">
      <c r="B1871" s="5" t="str">
        <f t="shared" si="1164"/>
        <v>SPS3</v>
      </c>
      <c r="C1871" s="5" t="str">
        <f t="shared" si="1211"/>
        <v>CH</v>
      </c>
      <c r="D1871" t="s">
        <v>2107</v>
      </c>
      <c r="E1871" t="str">
        <f t="shared" si="1120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0.34152808751972386</v>
      </c>
      <c r="H1871" s="1" cm="1">
        <f t="array" ref="H1871">SUMPRODUCT(([1]OUT_FinalEnergyCons!$B$4:$B$10000="Var_cap")*1,  (ISNUMBER(SEARCH("ITOT-SWHWOD*BR",[1]OUT_FinalEnergyCons!$A$4:$A$10000)))*1,[1]OUT_FinalEnergyCons!F$4:F$10000)</f>
        <v>0.34164361594987946</v>
      </c>
      <c r="I1871" s="1" cm="1">
        <f t="array" ref="I1871">SUMPRODUCT(([1]OUT_FinalEnergyCons!$B$4:$B$10000="Var_cap")*1,  (ISNUMBER(SEARCH("ITOT-SWHWOD*BR",[1]OUT_FinalEnergyCons!$A$4:$A$10000)))*1,[1]OUT_FinalEnergyCons!G$4:G$10000)</f>
        <v>0.3415902248801434</v>
      </c>
      <c r="J1871" s="1" cm="1">
        <f t="array" ref="J1871">SUMPRODUCT(([1]OUT_FinalEnergyCons!$B$4:$B$10000="Var_cap")*1,  (ISNUMBER(SEARCH("ITOT-SWHWOD*BR",[1]OUT_FinalEnergyCons!$A$4:$A$10000)))*1,[1]OUT_FinalEnergyCons!H$4:H$10000)</f>
        <v>0.55336380097510063</v>
      </c>
      <c r="K1871" s="1" cm="1">
        <f t="array" ref="K1871">SUMPRODUCT(([1]OUT_FinalEnergyCons!$B$4:$B$10000="Var_cap")*1,  (ISNUMBER(SEARCH("ITOT-SWHWOD*BR",[1]OUT_FinalEnergyCons!$A$4:$A$10000)))*1,[1]OUT_FinalEnergyCons!I$4:I$10000)</f>
        <v>0.30854534880717038</v>
      </c>
    </row>
    <row r="1872" spans="2:11" x14ac:dyDescent="0.25">
      <c r="B1872" s="5" t="str">
        <f t="shared" si="1164"/>
        <v>SPS3</v>
      </c>
      <c r="C1872" s="5" t="str">
        <f t="shared" si="1211"/>
        <v>CH</v>
      </c>
      <c r="D1872" t="s">
        <v>2108</v>
      </c>
      <c r="E1872" t="str">
        <f t="shared" si="1120"/>
        <v>GWth/yr.</v>
      </c>
      <c r="F1872" s="1">
        <f>F1873</f>
        <v>2.9860759506449799E-2</v>
      </c>
      <c r="G1872" s="1">
        <f t="shared" ref="G1872:K1872" si="1215">G1873</f>
        <v>3.7995187814062498E-2</v>
      </c>
      <c r="H1872" s="1">
        <f t="shared" si="1215"/>
        <v>3.8026468740860721E-2</v>
      </c>
      <c r="I1872" s="1">
        <f t="shared" si="1215"/>
        <v>3.8019784560807922E-2</v>
      </c>
      <c r="J1872" s="1">
        <f t="shared" si="1215"/>
        <v>4.1593640679455209E-2</v>
      </c>
      <c r="K1872" s="1">
        <f t="shared" si="1215"/>
        <v>3.5295416765451545E-2</v>
      </c>
    </row>
    <row r="1873" spans="2:11" x14ac:dyDescent="0.25">
      <c r="B1873" s="5" t="str">
        <f t="shared" si="1164"/>
        <v>SPS3</v>
      </c>
      <c r="C1873" s="5" t="str">
        <f t="shared" si="1211"/>
        <v>CH</v>
      </c>
      <c r="D1873" t="s">
        <v>2109</v>
      </c>
      <c r="E1873" t="str">
        <f t="shared" si="1120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3.7995187814062498E-2</v>
      </c>
      <c r="H1873" s="1" cm="1">
        <f t="array" ref="H1873">SUMPRODUCT(([1]OUT_FinalEnergyCons!$B$4:$B$10000="Var_cap")*1,  (ISNUMBER(SEARCH("ITOT-SWHPLT*BR",[1]OUT_FinalEnergyCons!$A$4:$A$10000)))*1,[1]OUT_FinalEnergyCons!F$4:F$10000)</f>
        <v>3.8026468740860721E-2</v>
      </c>
      <c r="I1873" s="1" cm="1">
        <f t="array" ref="I1873">SUMPRODUCT(([1]OUT_FinalEnergyCons!$B$4:$B$10000="Var_cap")*1,  (ISNUMBER(SEARCH("ITOT-SWHPLT*BR",[1]OUT_FinalEnergyCons!$A$4:$A$10000)))*1,[1]OUT_FinalEnergyCons!G$4:G$10000)</f>
        <v>3.8019784560807922E-2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4.1593640679455209E-2</v>
      </c>
      <c r="K1873" s="1" cm="1">
        <f t="array" ref="K1873">SUMPRODUCT(([1]OUT_FinalEnergyCons!$B$4:$B$10000="Var_cap")*1,  (ISNUMBER(SEARCH("ITOT-SWHPLT*BR",[1]OUT_FinalEnergyCons!$A$4:$A$10000)))*1,[1]OUT_FinalEnergyCons!I$4:I$10000)</f>
        <v>3.5295416765451545E-2</v>
      </c>
    </row>
    <row r="1874" spans="2:11" x14ac:dyDescent="0.25">
      <c r="B1874" s="5" t="str">
        <f t="shared" si="1164"/>
        <v>SPS3</v>
      </c>
      <c r="C1874" s="5" t="str">
        <f t="shared" si="1211"/>
        <v>CH</v>
      </c>
      <c r="D1874" t="s">
        <v>2110</v>
      </c>
      <c r="E1874" t="str">
        <f t="shared" si="1120"/>
        <v>GWth/yr.</v>
      </c>
      <c r="F1874" s="1">
        <f>F1875</f>
        <v>0.35954682816669398</v>
      </c>
      <c r="G1874" s="1">
        <f t="shared" ref="G1874:K1874" si="1216">G1875</f>
        <v>0.31306200597985845</v>
      </c>
      <c r="H1874" s="1">
        <f t="shared" si="1216"/>
        <v>0.30918003055131826</v>
      </c>
      <c r="I1874" s="1">
        <f t="shared" si="1216"/>
        <v>0.2068031774304174</v>
      </c>
      <c r="J1874" s="1">
        <f t="shared" si="1216"/>
        <v>0.1708670984247608</v>
      </c>
      <c r="K1874" s="1">
        <f t="shared" si="1216"/>
        <v>1.0608256619829004E-4</v>
      </c>
    </row>
    <row r="1875" spans="2:11" x14ac:dyDescent="0.25">
      <c r="B1875" s="5" t="str">
        <f t="shared" si="1164"/>
        <v>SPS3</v>
      </c>
      <c r="C1875" s="5" t="str">
        <f t="shared" si="1211"/>
        <v>CH</v>
      </c>
      <c r="D1875" t="s">
        <v>2111</v>
      </c>
      <c r="E1875" t="str">
        <f t="shared" si="1120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0.31306200597985845</v>
      </c>
      <c r="H1875" s="1" cm="1">
        <f t="array" ref="H1875">SUMPRODUCT(([1]OUT_FinalEnergyCons!$B$4:$B$10000="Var_cap")*1,  (ISNUMBER(SEARCH("ITOT-SWHWST*BR",[1]OUT_FinalEnergyCons!$A$4:$A$10000)))*1,[1]OUT_FinalEnergyCons!F$4:F$10000)</f>
        <v>0.30918003055131826</v>
      </c>
      <c r="I1875" s="1" cm="1">
        <f t="array" ref="I1875">SUMPRODUCT(([1]OUT_FinalEnergyCons!$B$4:$B$10000="Var_cap")*1,  (ISNUMBER(SEARCH("ITOT-SWHWST*BR",[1]OUT_FinalEnergyCons!$A$4:$A$10000)))*1,[1]OUT_FinalEnergyCons!G$4:G$10000)</f>
        <v>0.2068031774304174</v>
      </c>
      <c r="J1875" s="1" cm="1">
        <f t="array" ref="J1875">SUMPRODUCT(([1]OUT_FinalEnergyCons!$B$4:$B$10000="Var_cap")*1,  (ISNUMBER(SEARCH("ITOT-SWHWST*BR",[1]OUT_FinalEnergyCons!$A$4:$A$10000)))*1,[1]OUT_FinalEnergyCons!H$4:H$10000)</f>
        <v>0.1708670984247608</v>
      </c>
      <c r="K1875" s="1" cm="1">
        <f t="array" ref="K1875">SUMPRODUCT(([1]OUT_FinalEnergyCons!$B$4:$B$10000="Var_cap")*1,  (ISNUMBER(SEARCH("ITOT-SWHWST*BR",[1]OUT_FinalEnergyCons!$A$4:$A$10000)))*1,[1]OUT_FinalEnergyCons!I$4:I$10000)</f>
        <v>1.0608256619829004E-4</v>
      </c>
    </row>
    <row r="1876" spans="2:11" x14ac:dyDescent="0.25">
      <c r="B1876" s="5" t="str">
        <f t="shared" si="1164"/>
        <v>SPS3</v>
      </c>
      <c r="C1876" s="5" t="str">
        <f t="shared" si="1211"/>
        <v>CH</v>
      </c>
      <c r="D1876" t="s">
        <v>2112</v>
      </c>
      <c r="E1876" t="str">
        <f t="shared" si="1120"/>
        <v>GWth/yr.</v>
      </c>
      <c r="F1876" s="1">
        <f>F1877</f>
        <v>9.8214799778629808E-3</v>
      </c>
      <c r="G1876" s="1">
        <f t="shared" ref="G1876:K1876" si="1217">G1877</f>
        <v>0.10187874870325878</v>
      </c>
      <c r="H1876" s="1">
        <f t="shared" si="1217"/>
        <v>0.10187882556951328</v>
      </c>
      <c r="I1876" s="1">
        <f t="shared" si="1217"/>
        <v>0.10188319817809918</v>
      </c>
      <c r="J1876" s="1">
        <f t="shared" si="1217"/>
        <v>0.10188221547117</v>
      </c>
      <c r="K1876" s="1">
        <f t="shared" si="1217"/>
        <v>0.101881767751885</v>
      </c>
    </row>
    <row r="1877" spans="2:11" x14ac:dyDescent="0.25">
      <c r="B1877" s="5" t="str">
        <f t="shared" si="1164"/>
        <v>SPS3</v>
      </c>
      <c r="C1877" s="5" t="str">
        <f t="shared" si="1211"/>
        <v>CH</v>
      </c>
      <c r="D1877" t="s">
        <v>2113</v>
      </c>
      <c r="E1877" t="str">
        <f t="shared" si="1120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0.10187874870325878</v>
      </c>
      <c r="H1877" s="1" cm="1">
        <f t="array" ref="H1877">SUMPRODUCT(([1]OUT_FinalEnergyCons!$B$4:$B$10000="Var_cap")*1, (ISNUMBER(SEARCH("ITOT-SWHSOLBR",[1]OUT_FinalEnergyCons!$A$4:$A$10000)))*1,[1]OUT_FinalEnergyCons!F$4:F$10000)</f>
        <v>0.10187882556951328</v>
      </c>
      <c r="I1877" s="1" cm="1">
        <f t="array" ref="I1877">SUMPRODUCT(([1]OUT_FinalEnergyCons!$B$4:$B$10000="Var_cap")*1, (ISNUMBER(SEARCH("ITOT-SWHSOLBR",[1]OUT_FinalEnergyCons!$A$4:$A$10000)))*1,[1]OUT_FinalEnergyCons!G$4:G$10000)</f>
        <v>0.10188319817809918</v>
      </c>
      <c r="J1877" s="1" cm="1">
        <f t="array" ref="J1877">SUMPRODUCT(([1]OUT_FinalEnergyCons!$B$4:$B$10000="Var_cap")*1, (ISNUMBER(SEARCH("ITOT-SWHSOLBR",[1]OUT_FinalEnergyCons!$A$4:$A$10000)))*1,[1]OUT_FinalEnergyCons!H$4:H$10000)</f>
        <v>0.10188221547117</v>
      </c>
      <c r="K1877" s="1" cm="1">
        <f t="array" ref="K1877">SUMPRODUCT(([1]OUT_FinalEnergyCons!$B$4:$B$10000="Var_cap")*1, (ISNUMBER(SEARCH("ITOT-SWHSOLBR",[1]OUT_FinalEnergyCons!$A$4:$A$10000)))*1,[1]OUT_FinalEnergyCons!I$4:I$10000)</f>
        <v>0.101881767751885</v>
      </c>
    </row>
    <row r="1878" spans="2:11" x14ac:dyDescent="0.25">
      <c r="B1878" s="5" t="str">
        <f t="shared" si="1164"/>
        <v>SPS3</v>
      </c>
      <c r="C1878" s="5" t="str">
        <f t="shared" si="1211"/>
        <v>CH</v>
      </c>
      <c r="D1878" t="s">
        <v>2114</v>
      </c>
      <c r="E1878" t="str">
        <f t="shared" si="1120"/>
        <v>GWth/yr.</v>
      </c>
      <c r="F1878" s="1">
        <f>F1879</f>
        <v>0</v>
      </c>
      <c r="G1878" s="1">
        <f t="shared" ref="G1878:K1878" si="1218">G1879</f>
        <v>0</v>
      </c>
      <c r="H1878" s="1">
        <f t="shared" si="1218"/>
        <v>0</v>
      </c>
      <c r="I1878" s="1">
        <f t="shared" si="1218"/>
        <v>0.89738087602641803</v>
      </c>
      <c r="J1878" s="1">
        <f t="shared" si="1218"/>
        <v>0.79453313129590053</v>
      </c>
      <c r="K1878" s="1">
        <f t="shared" si="1218"/>
        <v>0.80325913749588751</v>
      </c>
    </row>
    <row r="1879" spans="2:11" x14ac:dyDescent="0.25">
      <c r="B1879" s="5" t="str">
        <f t="shared" si="1164"/>
        <v>SPS3</v>
      </c>
      <c r="C1879" s="5" t="str">
        <f t="shared" si="1211"/>
        <v>CH</v>
      </c>
      <c r="D1879" t="s">
        <v>2115</v>
      </c>
      <c r="E1879" t="str">
        <f t="shared" si="1120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0.89738087602641803</v>
      </c>
      <c r="J1879" s="1" cm="1">
        <f t="array" ref="J1879">SUMPRODUCT(([1]OUT_FinalEnergyCons!$B$4:$B$10000="Var_cap")*1, (ISNUMBER(SEARCH("ITOT-SWHH2BR",[1]OUT_FinalEnergyCons!$A$4:$A$10000)))*1,[1]OUT_FinalEnergyCons!H$4:H$10000)</f>
        <v>0.79453313129590053</v>
      </c>
      <c r="K1879" s="1" cm="1">
        <f t="array" ref="K1879">SUMPRODUCT(([1]OUT_FinalEnergyCons!$B$4:$B$10000="Var_cap")*1, (ISNUMBER(SEARCH("ITOT-SWHH2BR",[1]OUT_FinalEnergyCons!$A$4:$A$10000)))*1,[1]OUT_FinalEnergyCons!I$4:I$10000)</f>
        <v>0.80325913749588751</v>
      </c>
    </row>
    <row r="1880" spans="2:11" x14ac:dyDescent="0.25">
      <c r="B1880" s="9" t="str">
        <f t="shared" si="1164"/>
        <v>SPS3</v>
      </c>
      <c r="C1880" s="9" t="str">
        <f>C1808</f>
        <v>CH</v>
      </c>
      <c r="D1880" s="2" t="s">
        <v>1901</v>
      </c>
      <c r="E1880" s="9" t="str">
        <f t="shared" si="1120"/>
        <v>GWth/yr.</v>
      </c>
      <c r="F1880" s="17">
        <f>SUM(F1881,F1884,F1886,F1890,F1892,F1894,F1896)</f>
        <v>6.144440951100715</v>
      </c>
      <c r="G1880" s="17">
        <f t="shared" ref="G1880:K1880" si="1219">SUM(G1881,G1884,G1886,G1890,G1892,G1894,G1896)</f>
        <v>5.846429748051901</v>
      </c>
      <c r="H1880" s="17">
        <f t="shared" si="1219"/>
        <v>4.6856443719461405</v>
      </c>
      <c r="I1880" s="17">
        <f t="shared" si="1219"/>
        <v>5.5849459967491883</v>
      </c>
      <c r="J1880" s="17">
        <f t="shared" si="1219"/>
        <v>4.8945558651023813</v>
      </c>
      <c r="K1880" s="17">
        <f t="shared" si="1219"/>
        <v>4.3546387545090894</v>
      </c>
    </row>
    <row r="1881" spans="2:11" x14ac:dyDescent="0.25">
      <c r="B1881" s="5" t="str">
        <f t="shared" si="1164"/>
        <v>SPS3</v>
      </c>
      <c r="C1881" s="5" t="str">
        <f>C1880</f>
        <v>CH</v>
      </c>
      <c r="D1881" t="s">
        <v>1902</v>
      </c>
      <c r="E1881" t="str">
        <f t="shared" si="1120"/>
        <v>GWth/yr.</v>
      </c>
      <c r="F1881" s="1">
        <f>SUM(F1882:F1883)</f>
        <v>0.6156086043601432</v>
      </c>
      <c r="G1881" s="1">
        <f t="shared" ref="G1881:K1881" si="1220">SUM(G1882:G1883)</f>
        <v>0.46871017812654736</v>
      </c>
      <c r="H1881" s="1">
        <f t="shared" si="1220"/>
        <v>0.51138437859446317</v>
      </c>
      <c r="I1881" s="1">
        <f t="shared" si="1220"/>
        <v>1.2243759265014396</v>
      </c>
      <c r="J1881" s="1">
        <f t="shared" si="1220"/>
        <v>2.0863182936778659</v>
      </c>
      <c r="K1881" s="1">
        <f t="shared" si="1220"/>
        <v>2.0730544665190389</v>
      </c>
    </row>
    <row r="1882" spans="2:11" x14ac:dyDescent="0.25">
      <c r="B1882" s="5" t="str">
        <f t="shared" si="1164"/>
        <v>SPS3</v>
      </c>
      <c r="C1882" s="5" t="str">
        <f>C1881</f>
        <v>CH</v>
      </c>
      <c r="D1882" t="s">
        <v>1903</v>
      </c>
      <c r="E1882" t="str">
        <f t="shared" si="1120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0.18499057494643167</v>
      </c>
      <c r="G1882" s="1" cm="1">
        <f t="array" ref="G1882">SUMPRODUCT(([1]OUT_FinalEnergyCons!$B$4:$B$10000="Var_cap")*1, (ISNUMBER(SEARCH("SCOM-SHELCBR",[1]OUT_FinalEnergyCons!$A$4:$A$10000)))*1,[1]OUT_FinalEnergyCons!E$4:E$10000)</f>
        <v>3.809086721085006E-2</v>
      </c>
      <c r="H1882" s="1" cm="1">
        <f t="array" ref="H1882">SUMPRODUCT(([1]OUT_FinalEnergyCons!$B$4:$B$10000="Var_cap")*1, (ISNUMBER(SEARCH("SCOM-SHELCBR",[1]OUT_FinalEnergyCons!$A$4:$A$10000)))*1,[1]OUT_FinalEnergyCons!F$4:F$10000)</f>
        <v>3.8175377384958353E-2</v>
      </c>
      <c r="I1882" s="1" cm="1">
        <f t="array" ref="I1882">SUMPRODUCT(([1]OUT_FinalEnergyCons!$B$4:$B$10000="Var_cap")*1, (ISNUMBER(SEARCH("SCOM-SHELCBR",[1]OUT_FinalEnergyCons!$A$4:$A$10000)))*1,[1]OUT_FinalEnergyCons!G$4:G$10000)</f>
        <v>3.815943853283188E-2</v>
      </c>
      <c r="J1882" s="1" cm="1">
        <f t="array" ref="J1882">SUMPRODUCT(([1]OUT_FinalEnergyCons!$B$4:$B$10000="Var_cap")*1, (ISNUMBER(SEARCH("SCOM-SHELCBR",[1]OUT_FinalEnergyCons!$A$4:$A$10000)))*1,[1]OUT_FinalEnergyCons!H$4:H$10000)</f>
        <v>2.1565947157655554E-2</v>
      </c>
      <c r="K1882" s="1" cm="1">
        <f t="array" ref="K1882">SUMPRODUCT(([1]OUT_FinalEnergyCons!$B$4:$B$10000="Var_cap")*1, (ISNUMBER(SEARCH("SCOM-SHELCBR",[1]OUT_FinalEnergyCons!$A$4:$A$10000)))*1,[1]OUT_FinalEnergyCons!I$4:I$10000)</f>
        <v>1.5245398520235079E-2</v>
      </c>
    </row>
    <row r="1883" spans="2:11" x14ac:dyDescent="0.25">
      <c r="B1883" s="5" t="str">
        <f t="shared" si="1164"/>
        <v>SPS3</v>
      </c>
      <c r="C1883" s="5" t="str">
        <f t="shared" ref="B1883:C1883" si="1221">C1882</f>
        <v>CH</v>
      </c>
      <c r="D1883" t="s">
        <v>1904</v>
      </c>
      <c r="E1883" t="str">
        <f t="shared" si="1120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0.43061802941371147</v>
      </c>
      <c r="G1883" s="1" cm="1">
        <f t="array" ref="G1883">SUMPRODUCT(([1]OUT_FinalEnergyCons!$B$4:$B$10000="Var_cap")*1, (ISNUMBER(SEARCH("SCOM-SHELCHP",[1]OUT_FinalEnergyCons!$A$4:$A$10000)))*1,[1]OUT_FinalEnergyCons!E$4:E$10000)</f>
        <v>0.43061931091569727</v>
      </c>
      <c r="H1883" s="1" cm="1">
        <f t="array" ref="H1883">SUMPRODUCT(([1]OUT_FinalEnergyCons!$B$4:$B$10000="Var_cap")*1, (ISNUMBER(SEARCH("SCOM-SHELCHP",[1]OUT_FinalEnergyCons!$A$4:$A$10000)))*1,[1]OUT_FinalEnergyCons!F$4:F$10000)</f>
        <v>0.47320900120950488</v>
      </c>
      <c r="I1883" s="1" cm="1">
        <f t="array" ref="I1883">SUMPRODUCT(([1]OUT_FinalEnergyCons!$B$4:$B$10000="Var_cap")*1, (ISNUMBER(SEARCH("SCOM-SHELCHP",[1]OUT_FinalEnergyCons!$A$4:$A$10000)))*1,[1]OUT_FinalEnergyCons!G$4:G$10000)</f>
        <v>1.1862164879686077</v>
      </c>
      <c r="J1883" s="1" cm="1">
        <f t="array" ref="J1883">SUMPRODUCT(([1]OUT_FinalEnergyCons!$B$4:$B$10000="Var_cap")*1, (ISNUMBER(SEARCH("SCOM-SHELCHP",[1]OUT_FinalEnergyCons!$A$4:$A$10000)))*1,[1]OUT_FinalEnergyCons!H$4:H$10000)</f>
        <v>2.0647523465202102</v>
      </c>
      <c r="K1883" s="1" cm="1">
        <f t="array" ref="K1883">SUMPRODUCT(([1]OUT_FinalEnergyCons!$B$4:$B$10000="Var_cap")*1, (ISNUMBER(SEARCH("SCOM-SHELCHP",[1]OUT_FinalEnergyCons!$A$4:$A$10000)))*1,[1]OUT_FinalEnergyCons!I$4:I$10000)</f>
        <v>2.0578090679988037</v>
      </c>
    </row>
    <row r="1884" spans="2:11" x14ac:dyDescent="0.25">
      <c r="B1884" s="5" t="str">
        <f t="shared" si="1164"/>
        <v>SPS3</v>
      </c>
      <c r="C1884" s="5" t="str">
        <f t="shared" ref="B1884:C1884" si="1222">C1883</f>
        <v>CH</v>
      </c>
      <c r="D1884" t="s">
        <v>1905</v>
      </c>
      <c r="E1884" t="str">
        <f t="shared" si="1120"/>
        <v>GWth/yr.</v>
      </c>
      <c r="F1884" s="1">
        <f>F1885</f>
        <v>1.9285749314378076</v>
      </c>
      <c r="G1884" s="1">
        <f t="shared" ref="G1884:K1884" si="1223">G1885</f>
        <v>1.7446817349619832</v>
      </c>
      <c r="H1884" s="1">
        <f t="shared" si="1223"/>
        <v>1.5150934906001838</v>
      </c>
      <c r="I1884" s="1">
        <f t="shared" si="1223"/>
        <v>1.5149211374985583</v>
      </c>
      <c r="J1884" s="1">
        <f t="shared" si="1223"/>
        <v>0.15213452648952691</v>
      </c>
      <c r="K1884" s="1">
        <f t="shared" si="1223"/>
        <v>1.0185542405291494E-2</v>
      </c>
    </row>
    <row r="1885" spans="2:11" x14ac:dyDescent="0.25">
      <c r="B1885" s="5" t="str">
        <f t="shared" si="1164"/>
        <v>SPS3</v>
      </c>
      <c r="C1885" s="5" t="str">
        <f t="shared" ref="B1885:C1885" si="1224">C1884</f>
        <v>CH</v>
      </c>
      <c r="D1885" t="s">
        <v>1906</v>
      </c>
      <c r="E1885" t="str">
        <f t="shared" ref="E1885:E1897" si="1225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1.9285749314378076</v>
      </c>
      <c r="G1885" s="1" cm="1">
        <f t="array" ref="G1885">SUMPRODUCT(([1]OUT_FinalEnergyCons!$B$4:$B$10000="Var_cap")*1,(ISNUMBER(SEARCH("SCOM-SHLFOBR",[1]OUT_FinalEnergyCons!$A$4:$A$10000)))*1,[1]OUT_FinalEnergyCons!E$4:E$10000)</f>
        <v>1.7446817349619832</v>
      </c>
      <c r="H1885" s="1" cm="1">
        <f t="array" ref="H1885">SUMPRODUCT(([1]OUT_FinalEnergyCons!$B$4:$B$10000="Var_cap")*1,(ISNUMBER(SEARCH("SCOM-SHLFOBR",[1]OUT_FinalEnergyCons!$A$4:$A$10000)))*1,[1]OUT_FinalEnergyCons!F$4:F$10000)</f>
        <v>1.5150934906001838</v>
      </c>
      <c r="I1885" s="1" cm="1">
        <f t="array" ref="I1885">SUMPRODUCT(([1]OUT_FinalEnergyCons!$B$4:$B$10000="Var_cap")*1,(ISNUMBER(SEARCH("SCOM-SHLFOBR",[1]OUT_FinalEnergyCons!$A$4:$A$10000)))*1,[1]OUT_FinalEnergyCons!G$4:G$10000)</f>
        <v>1.5149211374985583</v>
      </c>
      <c r="J1885" s="1" cm="1">
        <f t="array" ref="J1885">SUMPRODUCT(([1]OUT_FinalEnergyCons!$B$4:$B$10000="Var_cap")*1,(ISNUMBER(SEARCH("SCOM-SHLFOBR",[1]OUT_FinalEnergyCons!$A$4:$A$10000)))*1,[1]OUT_FinalEnergyCons!H$4:H$10000)</f>
        <v>0.15213452648952691</v>
      </c>
      <c r="K1885" s="1" cm="1">
        <f t="array" ref="K1885">SUMPRODUCT(([1]OUT_FinalEnergyCons!$B$4:$B$10000="Var_cap")*1,(ISNUMBER(SEARCH("SCOM-SHLFOBR",[1]OUT_FinalEnergyCons!$A$4:$A$10000)))*1,[1]OUT_FinalEnergyCons!I$4:I$10000)</f>
        <v>1.0185542405291494E-2</v>
      </c>
    </row>
    <row r="1886" spans="2:11" x14ac:dyDescent="0.25">
      <c r="B1886" s="5" t="str">
        <f t="shared" si="1164"/>
        <v>SPS3</v>
      </c>
      <c r="C1886" s="5" t="str">
        <f t="shared" ref="B1886:C1886" si="1226">C1885</f>
        <v>CH</v>
      </c>
      <c r="D1886" t="s">
        <v>1907</v>
      </c>
      <c r="E1886" t="str">
        <f t="shared" si="1225"/>
        <v>GWth/yr.</v>
      </c>
      <c r="F1886" s="1">
        <f>SUM(F1887:F1889)</f>
        <v>2.8800240748155574</v>
      </c>
      <c r="G1886" s="1">
        <f t="shared" ref="G1886:K1886" si="1227">SUM(G1887:G1889)</f>
        <v>2.8798966528815129</v>
      </c>
      <c r="H1886" s="1">
        <f t="shared" si="1227"/>
        <v>2.0348512657586224</v>
      </c>
      <c r="I1886" s="1">
        <f t="shared" si="1227"/>
        <v>2.2036416514673718</v>
      </c>
      <c r="J1886" s="1">
        <f t="shared" si="1227"/>
        <v>0.71185452823221762</v>
      </c>
      <c r="K1886" s="1">
        <f t="shared" si="1227"/>
        <v>0.52149800570765903</v>
      </c>
    </row>
    <row r="1887" spans="2:11" x14ac:dyDescent="0.25">
      <c r="B1887" s="5" t="str">
        <f t="shared" si="1164"/>
        <v>SPS3</v>
      </c>
      <c r="C1887" s="5" t="str">
        <f t="shared" ref="B1887:C1887" si="1228">C1886</f>
        <v>CH</v>
      </c>
      <c r="D1887" t="s">
        <v>1908</v>
      </c>
      <c r="E1887" t="str">
        <f t="shared" si="1225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2.7746816952746181</v>
      </c>
      <c r="G1887" s="1" cm="1">
        <f t="array" ref="G1887">SUMPRODUCT(([1]OUT_FinalEnergyCons!$B$4:$B$10000="Var_cap")*1, (ISNUMBER(SEARCH("SCOM-SHNGABR",[1]OUT_FinalEnergyCons!$A$4:$A$10000)))*1,[1]OUT_FinalEnergyCons!E$4:E$10000)</f>
        <v>2.774480764610503</v>
      </c>
      <c r="H1887" s="1" cm="1">
        <f t="array" ref="H1887">SUMPRODUCT(([1]OUT_FinalEnergyCons!$B$4:$B$10000="Var_cap")*1, (ISNUMBER(SEARCH("SCOM-SHNGABR",[1]OUT_FinalEnergyCons!$A$4:$A$10000)))*1,[1]OUT_FinalEnergyCons!F$4:F$10000)</f>
        <v>1.7650383522697548</v>
      </c>
      <c r="I1887" s="1" cm="1">
        <f t="array" ref="I1887">SUMPRODUCT(([1]OUT_FinalEnergyCons!$B$4:$B$10000="Var_cap")*1, (ISNUMBER(SEARCH("SCOM-SHNGABR",[1]OUT_FinalEnergyCons!$A$4:$A$10000)))*1,[1]OUT_FinalEnergyCons!G$4:G$10000)</f>
        <v>1.7649325093495243</v>
      </c>
      <c r="J1887" s="1" cm="1">
        <f t="array" ref="J1887">SUMPRODUCT(([1]OUT_FinalEnergyCons!$B$4:$B$10000="Var_cap")*1, (ISNUMBER(SEARCH("SCOM-SHNGABR",[1]OUT_FinalEnergyCons!$A$4:$A$10000)))*1,[1]OUT_FinalEnergyCons!H$4:H$10000)</f>
        <v>0.20047099027770168</v>
      </c>
      <c r="K1887" s="1" cm="1">
        <f t="array" ref="K1887">SUMPRODUCT(([1]OUT_FinalEnergyCons!$B$4:$B$10000="Var_cap")*1, (ISNUMBER(SEARCH("SCOM-SHNGABR",[1]OUT_FinalEnergyCons!$A$4:$A$10000)))*1,[1]OUT_FinalEnergyCons!I$4:I$10000)</f>
        <v>9.0751623345844926E-2</v>
      </c>
    </row>
    <row r="1888" spans="2:11" x14ac:dyDescent="0.25">
      <c r="B1888" s="5" t="str">
        <f t="shared" si="1164"/>
        <v>SPS3</v>
      </c>
      <c r="C1888" s="5" t="str">
        <f t="shared" ref="B1888:C1888" si="1229">C1887</f>
        <v>CH</v>
      </c>
      <c r="D1888" t="s">
        <v>1909</v>
      </c>
      <c r="E1888" t="str">
        <f t="shared" si="1225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6.1232350048251503E-7</v>
      </c>
      <c r="G1888" s="1" cm="1">
        <f t="array" ref="G1888">SUMPRODUCT(([1]OUT_FinalEnergyCons!$B$4:$B$10000="Var_cap")*1, (ISNUMBER(SEARCH("SCOM-SHngahp",[1]OUT_FinalEnergyCons!$A$4:$A$10000)))*1,[1]OUT_FinalEnergyCons!E$4:E$10000)</f>
        <v>6.689756432003705E-5</v>
      </c>
      <c r="H1888" s="1" cm="1">
        <f t="array" ref="H1888">SUMPRODUCT(([1]OUT_FinalEnergyCons!$B$4:$B$10000="Var_cap")*1, (ISNUMBER(SEARCH("SCOM-SHngahp",[1]OUT_FinalEnergyCons!$A$4:$A$10000)))*1,[1]OUT_FinalEnergyCons!F$4:F$10000)</f>
        <v>0.16450704924891596</v>
      </c>
      <c r="I1888" s="1" cm="1">
        <f t="array" ref="I1888">SUMPRODUCT(([1]OUT_FinalEnergyCons!$B$4:$B$10000="Var_cap")*1, (ISNUMBER(SEARCH("SCOM-SHngahp",[1]OUT_FinalEnergyCons!$A$4:$A$10000)))*1,[1]OUT_FinalEnergyCons!G$4:G$10000)</f>
        <v>0.33341449519423311</v>
      </c>
      <c r="J1888" s="1" cm="1">
        <f t="array" ref="J1888">SUMPRODUCT(([1]OUT_FinalEnergyCons!$B$4:$B$10000="Var_cap")*1, (ISNUMBER(SEARCH("SCOM-SHngahp",[1]OUT_FinalEnergyCons!$A$4:$A$10000)))*1,[1]OUT_FinalEnergyCons!H$4:H$10000)</f>
        <v>0.5112720463824405</v>
      </c>
      <c r="K1888" s="1" cm="1">
        <f t="array" ref="K1888">SUMPRODUCT(([1]OUT_FinalEnergyCons!$B$4:$B$10000="Var_cap")*1, (ISNUMBER(SEARCH("SCOM-SHngahp",[1]OUT_FinalEnergyCons!$A$4:$A$10000)))*1,[1]OUT_FinalEnergyCons!I$4:I$10000)</f>
        <v>0.43064498397198619</v>
      </c>
    </row>
    <row r="1889" spans="2:11" x14ac:dyDescent="0.25">
      <c r="B1889" s="5" t="str">
        <f t="shared" si="1164"/>
        <v>SPS3</v>
      </c>
      <c r="C1889" s="5" t="str">
        <f t="shared" ref="B1889:C1889" si="1230">C1888</f>
        <v>CH</v>
      </c>
      <c r="D1889" t="s">
        <v>1910</v>
      </c>
      <c r="E1889" t="str">
        <f t="shared" si="1225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0.10534176721743893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0.10534899070668978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0.10530586423995168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0.10529464692361426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1.1149157207548432E-4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1.0139838982795039E-4</v>
      </c>
    </row>
    <row r="1890" spans="2:11" x14ac:dyDescent="0.25">
      <c r="B1890" s="5" t="str">
        <f t="shared" si="1164"/>
        <v>SPS3</v>
      </c>
      <c r="C1890" s="5" t="str">
        <f t="shared" ref="B1890:C1890" si="1231">C1889</f>
        <v>CH</v>
      </c>
      <c r="D1890" t="s">
        <v>1911</v>
      </c>
      <c r="E1890" t="str">
        <f t="shared" si="1225"/>
        <v>GWth/yr.</v>
      </c>
      <c r="F1890" s="1">
        <f>F1891</f>
        <v>0.47843156331228742</v>
      </c>
      <c r="G1890" s="1">
        <f t="shared" ref="G1890:K1890" si="1232">G1891</f>
        <v>0.47844495146888094</v>
      </c>
      <c r="H1890" s="1">
        <f t="shared" si="1232"/>
        <v>0.50169788154208106</v>
      </c>
      <c r="I1890" s="1">
        <f t="shared" si="1232"/>
        <v>0.50168041707417232</v>
      </c>
      <c r="J1890" s="1">
        <f t="shared" si="1232"/>
        <v>0.2421886853248863</v>
      </c>
      <c r="K1890" s="1">
        <f t="shared" si="1232"/>
        <v>0.12910554659052106</v>
      </c>
    </row>
    <row r="1891" spans="2:11" x14ac:dyDescent="0.25">
      <c r="B1891" s="5" t="str">
        <f t="shared" si="1164"/>
        <v>SPS3</v>
      </c>
      <c r="C1891" s="5" t="str">
        <f t="shared" ref="B1891:C1891" si="1233">C1890</f>
        <v>CH</v>
      </c>
      <c r="D1891" t="s">
        <v>1912</v>
      </c>
      <c r="E1891" t="str">
        <f t="shared" si="1225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0.47843156331228742</v>
      </c>
      <c r="G1891" s="1" cm="1">
        <f t="array" ref="G1891">SUMPRODUCT(([1]OUT_FinalEnergyCons!$B$4:$B$10000="Var_cap")*1, (ISNUMBER(SEARCH("SCOM-SHWODBR",[1]OUT_FinalEnergyCons!$A$4:$A$10000)))*1,[1]OUT_FinalEnergyCons!E$4:E$10000)</f>
        <v>0.47844495146888094</v>
      </c>
      <c r="H1891" s="1" cm="1">
        <f t="array" ref="H1891">SUMPRODUCT(([1]OUT_FinalEnergyCons!$B$4:$B$10000="Var_cap")*1, (ISNUMBER(SEARCH("SCOM-SHWODBR",[1]OUT_FinalEnergyCons!$A$4:$A$10000)))*1,[1]OUT_FinalEnergyCons!F$4:F$10000)</f>
        <v>0.50169788154208106</v>
      </c>
      <c r="I1891" s="1" cm="1">
        <f t="array" ref="I1891">SUMPRODUCT(([1]OUT_FinalEnergyCons!$B$4:$B$10000="Var_cap")*1, (ISNUMBER(SEARCH("SCOM-SHWODBR",[1]OUT_FinalEnergyCons!$A$4:$A$10000)))*1,[1]OUT_FinalEnergyCons!G$4:G$10000)</f>
        <v>0.50168041707417232</v>
      </c>
      <c r="J1891" s="1" cm="1">
        <f t="array" ref="J1891">SUMPRODUCT(([1]OUT_FinalEnergyCons!$B$4:$B$10000="Var_cap")*1, (ISNUMBER(SEARCH("SCOM-SHWODBR",[1]OUT_FinalEnergyCons!$A$4:$A$10000)))*1,[1]OUT_FinalEnergyCons!H$4:H$10000)</f>
        <v>0.2421886853248863</v>
      </c>
      <c r="K1891" s="1" cm="1">
        <f t="array" ref="K1891">SUMPRODUCT(([1]OUT_FinalEnergyCons!$B$4:$B$10000="Var_cap")*1, (ISNUMBER(SEARCH("SCOM-SHWODBR",[1]OUT_FinalEnergyCons!$A$4:$A$10000)))*1,[1]OUT_FinalEnergyCons!I$4:I$10000)</f>
        <v>0.12910554659052106</v>
      </c>
    </row>
    <row r="1892" spans="2:11" x14ac:dyDescent="0.25">
      <c r="B1892" s="5" t="str">
        <f t="shared" si="1164"/>
        <v>SPS3</v>
      </c>
      <c r="C1892" s="5" t="str">
        <f t="shared" ref="B1892:C1892" si="1234">C1891</f>
        <v>CH</v>
      </c>
      <c r="D1892" t="s">
        <v>1913</v>
      </c>
      <c r="E1892" t="str">
        <f t="shared" si="1225"/>
        <v>GWth/yr.</v>
      </c>
      <c r="F1892" s="1">
        <f>F1893</f>
        <v>0.15066941660346692</v>
      </c>
      <c r="G1892" s="1">
        <f t="shared" ref="G1892:K1892" si="1235">G1893</f>
        <v>0.17481752676060752</v>
      </c>
      <c r="H1892" s="1">
        <f t="shared" si="1235"/>
        <v>2.2737719210595003E-2</v>
      </c>
      <c r="I1892" s="1">
        <f t="shared" si="1235"/>
        <v>2.2703835266654898E-2</v>
      </c>
      <c r="J1892" s="1">
        <f t="shared" si="1235"/>
        <v>6.9738443771703391E-3</v>
      </c>
      <c r="K1892" s="1">
        <f t="shared" si="1235"/>
        <v>4.0656833902687666E-3</v>
      </c>
    </row>
    <row r="1893" spans="2:11" x14ac:dyDescent="0.25">
      <c r="B1893" s="5" t="str">
        <f t="shared" si="1164"/>
        <v>SPS3</v>
      </c>
      <c r="C1893" s="5" t="str">
        <f t="shared" ref="B1893:C1893" si="1236">C1892</f>
        <v>CH</v>
      </c>
      <c r="D1893" t="s">
        <v>1914</v>
      </c>
      <c r="E1893" t="str">
        <f t="shared" si="1225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0.15066941660346692</v>
      </c>
      <c r="G1893" s="1" cm="1">
        <f t="array" ref="G1893">SUMPRODUCT(([1]OUT_FinalEnergyCons!$B$4:$B$10000="Var_cap")*1,(ISNUMBER(SEARCH("SCOM-SHPLTBR",[1]OUT_FinalEnergyCons!$A$4:$A$10000)))*1,[1]OUT_FinalEnergyCons!E$4:E$10000)</f>
        <v>0.17481752676060752</v>
      </c>
      <c r="H1893" s="1" cm="1">
        <f t="array" ref="H1893">SUMPRODUCT(([1]OUT_FinalEnergyCons!$B$4:$B$10000="Var_cap")*1,(ISNUMBER(SEARCH("SCOM-SHPLTBR",[1]OUT_FinalEnergyCons!$A$4:$A$10000)))*1,[1]OUT_FinalEnergyCons!F$4:F$10000)</f>
        <v>2.2737719210595003E-2</v>
      </c>
      <c r="I1893" s="1" cm="1">
        <f t="array" ref="I1893">SUMPRODUCT(([1]OUT_FinalEnergyCons!$B$4:$B$10000="Var_cap")*1,(ISNUMBER(SEARCH("SCOM-SHPLTBR",[1]OUT_FinalEnergyCons!$A$4:$A$10000)))*1,[1]OUT_FinalEnergyCons!G$4:G$10000)</f>
        <v>2.2703835266654898E-2</v>
      </c>
      <c r="J1893" s="1" cm="1">
        <f t="array" ref="J1893">SUMPRODUCT(([1]OUT_FinalEnergyCons!$B$4:$B$10000="Var_cap")*1,(ISNUMBER(SEARCH("SCOM-SHPLTBR",[1]OUT_FinalEnergyCons!$A$4:$A$10000)))*1,[1]OUT_FinalEnergyCons!H$4:H$10000)</f>
        <v>6.9738443771703391E-3</v>
      </c>
      <c r="K1893" s="1" cm="1">
        <f t="array" ref="K1893">SUMPRODUCT(([1]OUT_FinalEnergyCons!$B$4:$B$10000="Var_cap")*1,(ISNUMBER(SEARCH("SCOM-SHPLTBR",[1]OUT_FinalEnergyCons!$A$4:$A$10000)))*1,[1]OUT_FinalEnergyCons!I$4:I$10000)</f>
        <v>4.0656833902687666E-3</v>
      </c>
    </row>
    <row r="1894" spans="2:11" x14ac:dyDescent="0.25">
      <c r="B1894" s="5" t="str">
        <f t="shared" si="1164"/>
        <v>SPS3</v>
      </c>
      <c r="C1894" s="5" t="str">
        <f t="shared" ref="B1894:C1894" si="1237">C1893</f>
        <v>CH</v>
      </c>
      <c r="D1894" t="s">
        <v>1915</v>
      </c>
      <c r="E1894" t="str">
        <f t="shared" si="1225"/>
        <v>GWth/yr.</v>
      </c>
      <c r="F1894" s="1">
        <f>F1895</f>
        <v>9.1132360571452409E-2</v>
      </c>
      <c r="G1894" s="1">
        <f t="shared" ref="G1894:K1894" si="1238">G1895</f>
        <v>9.9878703852369133E-2</v>
      </c>
      <c r="H1894" s="1">
        <f t="shared" si="1238"/>
        <v>9.9879636240194927E-2</v>
      </c>
      <c r="I1894" s="1">
        <f t="shared" si="1238"/>
        <v>0.117621627601665</v>
      </c>
      <c r="J1894" s="1">
        <f t="shared" si="1238"/>
        <v>0.17364627511982544</v>
      </c>
      <c r="K1894" s="1">
        <f t="shared" si="1238"/>
        <v>0.2390124121416668</v>
      </c>
    </row>
    <row r="1895" spans="2:11" x14ac:dyDescent="0.25">
      <c r="B1895" s="5" t="str">
        <f t="shared" si="1164"/>
        <v>SPS3</v>
      </c>
      <c r="C1895" s="5" t="str">
        <f t="shared" ref="B1895:C1895" si="1239">C1894</f>
        <v>CH</v>
      </c>
      <c r="D1895" t="s">
        <v>1916</v>
      </c>
      <c r="E1895" t="str">
        <f t="shared" si="1225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9.1132360571452409E-2</v>
      </c>
      <c r="G1895" s="1" cm="1">
        <f t="array" ref="G1895">SUMPRODUCT(([1]OUT_FinalEnergyCons!$B$4:$B$10000="Var_cap")*1, (ISNUMBER(SEARCH("SCOM-SHSOLBR",[1]OUT_FinalEnergyCons!$A$4:$A$10000)))*1,[1]OUT_FinalEnergyCons!E$4:E$10000)</f>
        <v>9.9878703852369133E-2</v>
      </c>
      <c r="H1895" s="1" cm="1">
        <f t="array" ref="H1895">SUMPRODUCT(([1]OUT_FinalEnergyCons!$B$4:$B$10000="Var_cap")*1, (ISNUMBER(SEARCH("SCOM-SHSOLBR",[1]OUT_FinalEnergyCons!$A$4:$A$10000)))*1,[1]OUT_FinalEnergyCons!F$4:F$10000)</f>
        <v>9.9879636240194927E-2</v>
      </c>
      <c r="I1895" s="1" cm="1">
        <f t="array" ref="I1895">SUMPRODUCT(([1]OUT_FinalEnergyCons!$B$4:$B$10000="Var_cap")*1, (ISNUMBER(SEARCH("SCOM-SHSOLBR",[1]OUT_FinalEnergyCons!$A$4:$A$10000)))*1,[1]OUT_FinalEnergyCons!G$4:G$10000)</f>
        <v>0.117621627601665</v>
      </c>
      <c r="J1895" s="1" cm="1">
        <f t="array" ref="J1895">SUMPRODUCT(([1]OUT_FinalEnergyCons!$B$4:$B$10000="Var_cap")*1, (ISNUMBER(SEARCH("SCOM-SHSOLBR",[1]OUT_FinalEnergyCons!$A$4:$A$10000)))*1,[1]OUT_FinalEnergyCons!H$4:H$10000)</f>
        <v>0.17364627511982544</v>
      </c>
      <c r="K1895" s="1" cm="1">
        <f t="array" ref="K1895">SUMPRODUCT(([1]OUT_FinalEnergyCons!$B$4:$B$10000="Var_cap")*1, (ISNUMBER(SEARCH("SCOM-SHSOLBR",[1]OUT_FinalEnergyCons!$A$4:$A$10000)))*1,[1]OUT_FinalEnergyCons!I$4:I$10000)</f>
        <v>0.2390124121416668</v>
      </c>
    </row>
    <row r="1896" spans="2:11" x14ac:dyDescent="0.25">
      <c r="B1896" s="5" t="str">
        <f t="shared" si="1164"/>
        <v>SPS3</v>
      </c>
      <c r="C1896" s="5" t="str">
        <f t="shared" ref="B1896:C1896" si="1240">C1895</f>
        <v>CH</v>
      </c>
      <c r="D1896" t="s">
        <v>1917</v>
      </c>
      <c r="E1896" t="str">
        <f t="shared" si="1225"/>
        <v>GWth/yr.</v>
      </c>
      <c r="F1896" s="1">
        <f>F1897</f>
        <v>0</v>
      </c>
      <c r="G1896" s="1">
        <f t="shared" ref="G1896:K1896" si="1241">G1897</f>
        <v>0</v>
      </c>
      <c r="H1896" s="1">
        <f t="shared" si="1241"/>
        <v>0</v>
      </c>
      <c r="I1896" s="1">
        <f t="shared" si="1241"/>
        <v>1.4013393269140999E-6</v>
      </c>
      <c r="J1896" s="1">
        <f t="shared" si="1241"/>
        <v>1.5214397118808889</v>
      </c>
      <c r="K1896" s="1">
        <f t="shared" si="1241"/>
        <v>1.3777170977546433</v>
      </c>
    </row>
    <row r="1897" spans="2:11" x14ac:dyDescent="0.25">
      <c r="B1897" s="5" t="str">
        <f t="shared" si="1164"/>
        <v>SPS3</v>
      </c>
      <c r="C1897" s="5" t="str">
        <f t="shared" ref="B1897:C1897" si="1242">C1896</f>
        <v>CH</v>
      </c>
      <c r="D1897" t="s">
        <v>1918</v>
      </c>
      <c r="E1897" t="str">
        <f t="shared" si="1225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1.4013393269140999E-6</v>
      </c>
      <c r="J1897" s="1" cm="1">
        <f t="array" ref="J1897">SUMPRODUCT(([1]OUT_FinalEnergyCons!$B$4:$B$10000="Var_cap")*1, (ISNUMBER(SEARCH("SCOM-SHH2BR",[1]OUT_FinalEnergyCons!$A$4:$A$10000)))*1,[1]OUT_FinalEnergyCons!H$4:H$10000)</f>
        <v>1.5214397118808889</v>
      </c>
      <c r="K1897" s="1" cm="1">
        <f t="array" ref="K1897">SUMPRODUCT(([1]OUT_FinalEnergyCons!$B$4:$B$10000="Var_cap")*1, (ISNUMBER(SEARCH("SCOM-SHH2BR",[1]OUT_FinalEnergyCons!$A$4:$A$10000)))*1,[1]OUT_FinalEnergyCons!I$4:I$10000)</f>
        <v>1.3777170977546433</v>
      </c>
    </row>
    <row r="1898" spans="2:11" x14ac:dyDescent="0.25">
      <c r="B1898" s="5" t="str">
        <f t="shared" si="1164"/>
        <v>SPS3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4.6762000682029718</v>
      </c>
      <c r="G1898" s="3">
        <f t="shared" ref="G1898:K1898" si="1243">SUM(G1899:G1948)</f>
        <v>4.8371170155001755</v>
      </c>
      <c r="H1898" s="3">
        <f t="shared" si="1243"/>
        <v>4.9118518458612392</v>
      </c>
      <c r="I1898" s="3">
        <f t="shared" si="1243"/>
        <v>5.2294621849412497</v>
      </c>
      <c r="J1898" s="3">
        <f t="shared" si="1243"/>
        <v>5.5838715206035872</v>
      </c>
      <c r="K1898" s="3">
        <f t="shared" si="1243"/>
        <v>5.8462788842755797</v>
      </c>
    </row>
    <row r="1899" spans="2:11" x14ac:dyDescent="0.25">
      <c r="B1899" s="5" t="str">
        <f t="shared" si="1164"/>
        <v>SPS3</v>
      </c>
      <c r="C1899" s="5" t="str">
        <f t="shared" ref="C1899:C1948" si="1244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2.802663970819861E-2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1.4013320544607947E-2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164"/>
        <v>SPS3</v>
      </c>
      <c r="C1900" s="5" t="str">
        <f t="shared" si="1244"/>
        <v>CH</v>
      </c>
      <c r="D1900" t="s">
        <v>1923</v>
      </c>
      <c r="E1900" t="str">
        <f t="shared" ref="E1900:E1948" si="1245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1.526935879590854E-3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2.765889744955413E-3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2.7694044949961444E-3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2.3531068723725308E-3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0.13679847488629615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0.32455954655037106</v>
      </c>
    </row>
    <row r="1901" spans="2:11" x14ac:dyDescent="0.25">
      <c r="B1901" s="5" t="str">
        <f t="shared" si="1164"/>
        <v>SPS3</v>
      </c>
      <c r="C1901" s="5" t="str">
        <f t="shared" si="1244"/>
        <v>CH</v>
      </c>
      <c r="D1901" t="s">
        <v>1924</v>
      </c>
      <c r="E1901" t="str">
        <f t="shared" si="1245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7.3620739996568931E-3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1.1607389807055543E-2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1.1386331930706295E-2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1.1448773984694818E-2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1.5495149074884549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1.8448425495129193</v>
      </c>
    </row>
    <row r="1902" spans="2:11" x14ac:dyDescent="0.25">
      <c r="B1902" s="5" t="str">
        <f t="shared" si="1164"/>
        <v>SPS3</v>
      </c>
      <c r="C1902" s="5" t="str">
        <f t="shared" si="1244"/>
        <v>CH</v>
      </c>
      <c r="D1902" t="s">
        <v>1925</v>
      </c>
      <c r="E1902" t="str">
        <f t="shared" si="1245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4.2799174735788526E-3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8.8374143197211368E-3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9.3426919053758595E-3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0.31923527802553747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0.36434133061505558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0.15354586902820364</v>
      </c>
    </row>
    <row r="1903" spans="2:11" x14ac:dyDescent="0.25">
      <c r="B1903" s="5" t="str">
        <f t="shared" si="1164"/>
        <v>SPS3</v>
      </c>
      <c r="C1903" s="5" t="str">
        <f t="shared" si="1244"/>
        <v>CH</v>
      </c>
      <c r="D1903" t="s">
        <v>1926</v>
      </c>
      <c r="E1903" t="str">
        <f t="shared" si="1245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1.5345875216847157E-2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0.10956658691639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0.25837624732052789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0.62610524351060415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1.2140257276591939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2.061020107346565</v>
      </c>
    </row>
    <row r="1904" spans="2:11" x14ac:dyDescent="0.25">
      <c r="B1904" s="5" t="str">
        <f t="shared" si="1164"/>
        <v>SPS3</v>
      </c>
      <c r="C1904" s="5" t="str">
        <f t="shared" si="1244"/>
        <v>CH</v>
      </c>
      <c r="D1904" t="s">
        <v>1927</v>
      </c>
      <c r="E1904" t="str">
        <f t="shared" si="1245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2.5985590118023843E-5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1.0075193134891825E-4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1.6422846330619843E-4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1.778192836316748E-4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1.9388178585176257E-4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1.3315928141518994E-4</v>
      </c>
    </row>
    <row r="1905" spans="2:11" x14ac:dyDescent="0.25">
      <c r="B1905" s="5" t="str">
        <f t="shared" si="1164"/>
        <v>SPS3</v>
      </c>
      <c r="C1905" s="5" t="str">
        <f t="shared" si="1244"/>
        <v>CH</v>
      </c>
      <c r="D1905" t="s">
        <v>1928</v>
      </c>
      <c r="E1905" t="str">
        <f t="shared" si="1245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4.8853179478902022E-3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7.4947399358345438E-3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7.2667095259195125E-3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5.9823391761038838E-3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2.670952624476316E-3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1.4654889113928432E-3</v>
      </c>
    </row>
    <row r="1906" spans="2:11" x14ac:dyDescent="0.25">
      <c r="B1906" s="5" t="str">
        <f t="shared" si="1164"/>
        <v>SPS3</v>
      </c>
      <c r="C1906" s="5" t="str">
        <f t="shared" si="1244"/>
        <v>CH</v>
      </c>
      <c r="D1906" t="s">
        <v>1929</v>
      </c>
      <c r="E1906" t="str">
        <f t="shared" si="1245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4.0682836171055557E-3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1.068251806004826E-2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5.6609605436518308E-2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0.12131423126520884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0.33854078381032093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0.56289892727787727</v>
      </c>
    </row>
    <row r="1907" spans="2:11" x14ac:dyDescent="0.25">
      <c r="B1907" s="5" t="str">
        <f t="shared" si="1164"/>
        <v>SPS3</v>
      </c>
      <c r="C1907" s="5" t="str">
        <f t="shared" si="1244"/>
        <v>CH</v>
      </c>
      <c r="D1907" t="s">
        <v>1930</v>
      </c>
      <c r="E1907" t="str">
        <f t="shared" si="1245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7.2621049352116218E-3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1.2524786503611522E-2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1.2313109541260997E-2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1.0051339618989628E-2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1.044300413983026E-3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6.4304073684744146E-4</v>
      </c>
    </row>
    <row r="1908" spans="2:11" x14ac:dyDescent="0.25">
      <c r="B1908" s="5" t="str">
        <f t="shared" ref="B1908:B1971" si="1246">B1907</f>
        <v>SPS3</v>
      </c>
      <c r="C1908" s="5" t="str">
        <f t="shared" si="1244"/>
        <v>CH</v>
      </c>
      <c r="D1908" t="s">
        <v>1931</v>
      </c>
      <c r="E1908" t="str">
        <f t="shared" si="1245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1.2801854391248399E-4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1.7081532175962106E-4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1.8396775337394062E-4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1.9480708590528434E-4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1.3364029934168553E-4</v>
      </c>
    </row>
    <row r="1909" spans="2:11" x14ac:dyDescent="0.25">
      <c r="B1909" s="5" t="str">
        <f t="shared" si="1246"/>
        <v>SPS3</v>
      </c>
      <c r="C1909" s="5" t="str">
        <f t="shared" si="1244"/>
        <v>CH</v>
      </c>
      <c r="D1909" t="s">
        <v>1932</v>
      </c>
      <c r="E1909" t="str">
        <f t="shared" si="1245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4.7137556198195166E-5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9.3558952786105168E-5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1.6856561621446259E-4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1.6994614579637298E-2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9.0032612395748082E-3</v>
      </c>
    </row>
    <row r="1910" spans="2:11" x14ac:dyDescent="0.25">
      <c r="B1910" s="5" t="str">
        <f t="shared" si="1246"/>
        <v>SPS3</v>
      </c>
      <c r="C1910" s="5" t="str">
        <f t="shared" si="1244"/>
        <v>CH</v>
      </c>
      <c r="D1910" t="s">
        <v>1933</v>
      </c>
      <c r="E1910" t="str">
        <f t="shared" si="1245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3.6699218225716576E-2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4.9210544923606186E-2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0.21367013110313088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0.58038191172926412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0.46080341138344466</v>
      </c>
    </row>
    <row r="1911" spans="2:11" x14ac:dyDescent="0.25">
      <c r="B1911" s="5" t="str">
        <f t="shared" si="1246"/>
        <v>SPS3</v>
      </c>
      <c r="C1911" s="5" t="str">
        <f t="shared" si="1244"/>
        <v>CH</v>
      </c>
      <c r="D1911" t="s">
        <v>1934</v>
      </c>
      <c r="E1911" t="str">
        <f t="shared" si="1245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2.5885223479784366E-4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9.4735843469511034E-4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1.1469777974175077E-3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1.1324689488926125E-3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1.0755370424618742E-3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6.5168860132101727E-4</v>
      </c>
    </row>
    <row r="1912" spans="2:11" x14ac:dyDescent="0.25">
      <c r="B1912" s="5" t="str">
        <f t="shared" si="1246"/>
        <v>SPS3</v>
      </c>
      <c r="C1912" s="5" t="str">
        <f t="shared" si="1244"/>
        <v>CH</v>
      </c>
      <c r="D1912" t="s">
        <v>1935</v>
      </c>
      <c r="E1912" t="str">
        <f t="shared" si="1245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1.4519507403362E-5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4.5188825249406214E-5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8.3633492440648294E-5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7.3271975595723005E-3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3.8591802515962883E-3</v>
      </c>
    </row>
    <row r="1913" spans="2:11" x14ac:dyDescent="0.25">
      <c r="B1913" s="5" t="str">
        <f t="shared" si="1246"/>
        <v>SPS3</v>
      </c>
      <c r="C1913" s="5" t="str">
        <f t="shared" si="1244"/>
        <v>CH</v>
      </c>
      <c r="D1913" t="s">
        <v>1936</v>
      </c>
      <c r="E1913" t="str">
        <f t="shared" si="1245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1.4338327789607608E-5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3.0889786923078927E-5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5.983527450461639E-5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8.3566224606907799E-5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4.9199705245518608E-5</v>
      </c>
    </row>
    <row r="1914" spans="2:11" x14ac:dyDescent="0.25">
      <c r="B1914" s="5" t="str">
        <f t="shared" si="1246"/>
        <v>SPS3</v>
      </c>
      <c r="C1914" s="5" t="str">
        <f t="shared" si="1244"/>
        <v>CH</v>
      </c>
      <c r="D1914" t="s">
        <v>1937</v>
      </c>
      <c r="E1914" t="str">
        <f t="shared" si="1245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5.3645770860861064E-5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1.1569398651351163E-4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1.2563276239003704E-4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1.2795428599856869E-4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5.5730799955928217E-5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4.1970710208400627E-5</v>
      </c>
    </row>
    <row r="1915" spans="2:11" x14ac:dyDescent="0.25">
      <c r="B1915" s="5" t="str">
        <f t="shared" si="1246"/>
        <v>SPS3</v>
      </c>
      <c r="C1915" s="5" t="str">
        <f t="shared" si="1244"/>
        <v>CH</v>
      </c>
      <c r="D1915" t="s">
        <v>1938</v>
      </c>
      <c r="E1915" t="str">
        <f t="shared" si="1245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1.0368286206681799E-5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3.6596938188011098E-5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8.3713756874776804E-5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2.2827853131501398E-4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0.15523887081503368</v>
      </c>
    </row>
    <row r="1916" spans="2:11" x14ac:dyDescent="0.25">
      <c r="B1916" s="5" t="str">
        <f t="shared" si="1246"/>
        <v>SPS3</v>
      </c>
      <c r="C1916" s="5" t="str">
        <f t="shared" si="1244"/>
        <v>CH</v>
      </c>
      <c r="D1916" t="s">
        <v>1939</v>
      </c>
      <c r="E1916" t="str">
        <f t="shared" si="1245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4.3894653575950265E-2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246"/>
        <v>SPS3</v>
      </c>
      <c r="C1917" s="5" t="str">
        <f t="shared" si="1244"/>
        <v>CH</v>
      </c>
      <c r="D1917" t="s">
        <v>1940</v>
      </c>
      <c r="E1917" t="str">
        <f t="shared" si="1245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5.6686056651694353E-3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6.6492467802549268E-3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7.9401677924072947E-2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0.17781589605629036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0.15268212282985696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3.0281488563201432E-2</v>
      </c>
    </row>
    <row r="1918" spans="2:11" x14ac:dyDescent="0.25">
      <c r="B1918" s="5" t="str">
        <f t="shared" si="1246"/>
        <v>SPS3</v>
      </c>
      <c r="C1918" s="5" t="str">
        <f t="shared" si="1244"/>
        <v>CH</v>
      </c>
      <c r="D1918" t="s">
        <v>1941</v>
      </c>
      <c r="E1918" t="str">
        <f t="shared" si="1245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1.722652118592197E-2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2.9353463528699806E-2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0.26139752015425821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0.47654781359532394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0.1946389819085115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2.1931434383012538E-2</v>
      </c>
    </row>
    <row r="1919" spans="2:11" x14ac:dyDescent="0.25">
      <c r="B1919" s="5" t="str">
        <f t="shared" si="1246"/>
        <v>SPS3</v>
      </c>
      <c r="C1919" s="5" t="str">
        <f t="shared" si="1244"/>
        <v>CH</v>
      </c>
      <c r="D1919" t="s">
        <v>1942</v>
      </c>
      <c r="E1919" t="str">
        <f t="shared" si="1245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1.4248278400971542E-2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0.14627842033542421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0.19288620472156418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0.15954719161311159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4.7988426895192518E-3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5.7139977740133522E-5</v>
      </c>
    </row>
    <row r="1920" spans="2:11" x14ac:dyDescent="0.25">
      <c r="B1920" s="5" t="str">
        <f t="shared" si="1246"/>
        <v>SPS3</v>
      </c>
      <c r="C1920" s="5" t="str">
        <f t="shared" si="1244"/>
        <v>CH</v>
      </c>
      <c r="D1920" t="s">
        <v>1943</v>
      </c>
      <c r="E1920" t="str">
        <f t="shared" si="1245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8.3199132336431586E-3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1.4171796218763884E-2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1.3947417530687126E-2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1.1944583345783074E-2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6.1508851352745251E-4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2.2354368159727405E-4</v>
      </c>
    </row>
    <row r="1921" spans="2:11" x14ac:dyDescent="0.25">
      <c r="B1921" s="5" t="str">
        <f t="shared" si="1246"/>
        <v>SPS3</v>
      </c>
      <c r="C1921" s="5" t="str">
        <f t="shared" si="1244"/>
        <v>CH</v>
      </c>
      <c r="D1921" t="s">
        <v>1944</v>
      </c>
      <c r="E1921" t="str">
        <f t="shared" si="1245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1.6628708793376301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0.83143923731767266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246"/>
        <v>SPS3</v>
      </c>
      <c r="C1922" s="5" t="str">
        <f t="shared" si="1244"/>
        <v>CH</v>
      </c>
      <c r="D1922" t="s">
        <v>1945</v>
      </c>
      <c r="E1922" t="str">
        <f t="shared" si="1245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3.6541790395738703E-2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3.9782316122758232E-2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3.9998727205475329E-2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3.0998941586308591E-2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2.6682315531978776E-4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2.6608775360770448E-5</v>
      </c>
    </row>
    <row r="1923" spans="2:11" x14ac:dyDescent="0.25">
      <c r="B1923" s="5" t="str">
        <f t="shared" si="1246"/>
        <v>SPS3</v>
      </c>
      <c r="C1923" s="5" t="str">
        <f t="shared" si="1244"/>
        <v>CH</v>
      </c>
      <c r="D1923" t="s">
        <v>1946</v>
      </c>
      <c r="E1923" t="str">
        <f t="shared" si="1245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0.21742929260627972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0.24338824190971134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0.24011726534306452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0.18977892900742574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1.4437722348850451E-4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3.0156921741356693E-5</v>
      </c>
    </row>
    <row r="1924" spans="2:11" x14ac:dyDescent="0.25">
      <c r="B1924" s="5" t="str">
        <f t="shared" si="1246"/>
        <v>SPS3</v>
      </c>
      <c r="C1924" s="5" t="str">
        <f t="shared" si="1244"/>
        <v>CH</v>
      </c>
      <c r="D1924" t="s">
        <v>1947</v>
      </c>
      <c r="E1924" t="str">
        <f t="shared" si="1245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0.1820115945580516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0.20367414042064069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0.20084617514864911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0.16318408643762328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1.5089627096903169E-4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2.6947744484353429E-5</v>
      </c>
    </row>
    <row r="1925" spans="2:11" x14ac:dyDescent="0.25">
      <c r="B1925" s="5" t="str">
        <f t="shared" si="1246"/>
        <v>SPS3</v>
      </c>
      <c r="C1925" s="5" t="str">
        <f t="shared" si="1244"/>
        <v>CH</v>
      </c>
      <c r="D1925" t="s">
        <v>1948</v>
      </c>
      <c r="E1925" t="str">
        <f t="shared" si="1245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0.15707443751017747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0.17927593767035599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0.26998843020016011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0.66067267120811934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0.78119188015724694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0.17491675691213335</v>
      </c>
    </row>
    <row r="1926" spans="2:11" x14ac:dyDescent="0.25">
      <c r="B1926" s="5" t="str">
        <f t="shared" si="1246"/>
        <v>SPS3</v>
      </c>
      <c r="C1926" s="5" t="str">
        <f t="shared" si="1244"/>
        <v>CH</v>
      </c>
      <c r="D1926" t="s">
        <v>1949</v>
      </c>
      <c r="E1926" t="str">
        <f t="shared" si="1245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2.07364437482763E-5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1.4173596215245101E-4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3.1296965197760501E-4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1.7048272502953601E-4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3.5566493057617898E-5</v>
      </c>
    </row>
    <row r="1927" spans="2:11" x14ac:dyDescent="0.25">
      <c r="B1927" s="5" t="str">
        <f t="shared" si="1246"/>
        <v>SPS3</v>
      </c>
      <c r="C1927" s="5" t="str">
        <f t="shared" si="1244"/>
        <v>CH</v>
      </c>
      <c r="D1927" t="s">
        <v>1950</v>
      </c>
      <c r="E1927" t="str">
        <f t="shared" si="1245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9.7328405609598399E-6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4.12099235383174E-5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9.7869047482212695E-5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1.06471775919857E-4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3.2855097575490998E-5</v>
      </c>
    </row>
    <row r="1928" spans="2:11" x14ac:dyDescent="0.25">
      <c r="B1928" s="5" t="str">
        <f t="shared" si="1246"/>
        <v>SPS3</v>
      </c>
      <c r="C1928" s="5" t="str">
        <f t="shared" si="1244"/>
        <v>CH</v>
      </c>
      <c r="D1928" t="s">
        <v>1951</v>
      </c>
      <c r="E1928" t="str">
        <f t="shared" si="1245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1.06267156083303E-5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5.0473934971963203E-5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9.8296069625703703E-5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9.4950619898619894E-5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2.85231262767912E-5</v>
      </c>
    </row>
    <row r="1929" spans="2:11" x14ac:dyDescent="0.25">
      <c r="B1929" s="5" t="str">
        <f t="shared" si="1246"/>
        <v>SPS3</v>
      </c>
      <c r="C1929" s="5" t="str">
        <f t="shared" si="1244"/>
        <v>CH</v>
      </c>
      <c r="D1929" t="s">
        <v>1952</v>
      </c>
      <c r="E1929" t="str">
        <f t="shared" si="1245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1.35032300498161E-5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9.7036178595485403E-5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2.9296515381605902E-4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4.3985741074408402E-4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1.6961990408940599E-4</v>
      </c>
    </row>
    <row r="1930" spans="2:11" x14ac:dyDescent="0.25">
      <c r="B1930" s="5" t="str">
        <f t="shared" si="1246"/>
        <v>SPS3</v>
      </c>
      <c r="C1930" s="5" t="str">
        <f t="shared" si="1244"/>
        <v>CH</v>
      </c>
      <c r="D1930" t="s">
        <v>1953</v>
      </c>
      <c r="E1930" t="str">
        <f t="shared" si="1245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246"/>
        <v>SPS3</v>
      </c>
      <c r="C1931" s="5" t="str">
        <f t="shared" si="1244"/>
        <v>CH</v>
      </c>
      <c r="D1931" t="s">
        <v>1954</v>
      </c>
      <c r="E1931" t="str">
        <f t="shared" si="1245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3.2188544722840939E-2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3.1018910912834534E-2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7.199129626561783E-2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6.2681324284629886E-2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1.2969310067055831E-2</v>
      </c>
    </row>
    <row r="1932" spans="2:11" x14ac:dyDescent="0.25">
      <c r="B1932" s="5" t="str">
        <f t="shared" si="1246"/>
        <v>SPS3</v>
      </c>
      <c r="C1932" s="5" t="str">
        <f t="shared" si="1244"/>
        <v>CH</v>
      </c>
      <c r="D1932" t="s">
        <v>1955</v>
      </c>
      <c r="E1932" t="str">
        <f t="shared" si="1245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2.5975993825248745E-4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0.13510398722214867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0.30660961307327678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0.42493580695956534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0.17105665680287591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2.6279508858552264E-2</v>
      </c>
    </row>
    <row r="1933" spans="2:11" x14ac:dyDescent="0.25">
      <c r="B1933" s="5" t="str">
        <f t="shared" si="1246"/>
        <v>SPS3</v>
      </c>
      <c r="C1933" s="5" t="str">
        <f t="shared" si="1244"/>
        <v>CH</v>
      </c>
      <c r="D1933" t="s">
        <v>1956</v>
      </c>
      <c r="E1933" t="str">
        <f t="shared" si="1245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1.8560953781145181E-3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2.0606230513891498E-2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1.9708827637744068E-2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1.5913088239706167E-2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2.2290218405264875E-4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6.7040152472203071E-5</v>
      </c>
    </row>
    <row r="1934" spans="2:11" x14ac:dyDescent="0.25">
      <c r="B1934" s="5" t="str">
        <f t="shared" si="1246"/>
        <v>SPS3</v>
      </c>
      <c r="C1934" s="5" t="str">
        <f t="shared" si="1244"/>
        <v>CH</v>
      </c>
      <c r="D1934" t="s">
        <v>1957</v>
      </c>
      <c r="E1934" t="str">
        <f t="shared" si="1245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3.7726979196356946E-3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6.2691159563562915E-2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6.0227762655684886E-2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4.8813676527214446E-2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3.0712364362308931E-4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7.8493153594252099E-5</v>
      </c>
    </row>
    <row r="1935" spans="2:11" x14ac:dyDescent="0.25">
      <c r="B1935" s="5" t="str">
        <f t="shared" si="1246"/>
        <v>SPS3</v>
      </c>
      <c r="C1935" s="5" t="str">
        <f t="shared" si="1244"/>
        <v>CH</v>
      </c>
      <c r="D1935" t="s">
        <v>1958</v>
      </c>
      <c r="E1935" t="str">
        <f t="shared" si="1245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0.70636475524086229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0.35318380014302775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246"/>
        <v>SPS3</v>
      </c>
      <c r="C1936" s="5" t="str">
        <f t="shared" si="1244"/>
        <v>CH</v>
      </c>
      <c r="D1936" t="s">
        <v>1959</v>
      </c>
      <c r="E1936" t="str">
        <f t="shared" si="1245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4.4455879706935427E-4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5.1233921133539092E-4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5.6717214415347259E-4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4.8354268417094326E-4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8.0004268939575025E-5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1.3744257395003324E-5</v>
      </c>
    </row>
    <row r="1937" spans="2:11" x14ac:dyDescent="0.25">
      <c r="B1937" s="5" t="str">
        <f t="shared" si="1246"/>
        <v>SPS3</v>
      </c>
      <c r="C1937" s="5" t="str">
        <f t="shared" si="1244"/>
        <v>CH</v>
      </c>
      <c r="D1937" t="s">
        <v>1960</v>
      </c>
      <c r="E1937" t="str">
        <f t="shared" si="1245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6.4569147750255115E-2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6.8523538370846571E-2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6.7934806234345224E-2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5.1542069243671967E-2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5.7043141976517764E-5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1.1482556964844421E-5</v>
      </c>
    </row>
    <row r="1938" spans="2:11" x14ac:dyDescent="0.25">
      <c r="B1938" s="5" t="str">
        <f t="shared" si="1246"/>
        <v>SPS3</v>
      </c>
      <c r="C1938" s="5" t="str">
        <f t="shared" si="1244"/>
        <v>CH</v>
      </c>
      <c r="D1938" t="s">
        <v>1961</v>
      </c>
      <c r="E1938" t="str">
        <f t="shared" si="1245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0.18323957362468132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0.19501298138807874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0.1930143561185613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0.14999611059060552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4.922048683839381E-5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9.7802613865330976E-6</v>
      </c>
    </row>
    <row r="1939" spans="2:11" x14ac:dyDescent="0.25">
      <c r="B1939" s="5" t="str">
        <f t="shared" si="1246"/>
        <v>SPS3</v>
      </c>
      <c r="C1939" s="5" t="str">
        <f t="shared" si="1244"/>
        <v>CH</v>
      </c>
      <c r="D1939" t="s">
        <v>1962</v>
      </c>
      <c r="E1939" t="str">
        <f t="shared" si="1245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7.1261690115387868E-2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7.9345296403681723E-2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7.8228528832236757E-2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6.1094361025991542E-2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3.3645261198865638E-5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6.881252704045357E-6</v>
      </c>
    </row>
    <row r="1940" spans="2:11" x14ac:dyDescent="0.25">
      <c r="B1940" s="5" t="str">
        <f t="shared" si="1246"/>
        <v>SPS3</v>
      </c>
      <c r="C1940" s="5" t="str">
        <f t="shared" si="1244"/>
        <v>CH</v>
      </c>
      <c r="D1940" t="s">
        <v>1963</v>
      </c>
      <c r="E1940" t="str">
        <f t="shared" si="1245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2.47594328721433E-5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9.7305116167794694E-5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3.1239841077389599E-4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2.4817876258504502E-4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6.99531174240841E-5</v>
      </c>
    </row>
    <row r="1941" spans="2:11" x14ac:dyDescent="0.25">
      <c r="B1941" s="5" t="str">
        <f t="shared" si="1246"/>
        <v>SPS3</v>
      </c>
      <c r="C1941" s="5" t="str">
        <f t="shared" si="1244"/>
        <v>CH</v>
      </c>
      <c r="D1941" t="s">
        <v>1964</v>
      </c>
      <c r="E1941" t="str">
        <f t="shared" si="1245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1.10169846642821E-5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4.0017045091254203E-5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1.1398330803716299E-4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1.45981044239256E-4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5.03799476769202E-5</v>
      </c>
    </row>
    <row r="1942" spans="2:11" x14ac:dyDescent="0.25">
      <c r="B1942" s="5" t="str">
        <f t="shared" si="1246"/>
        <v>SPS3</v>
      </c>
      <c r="C1942" s="5" t="str">
        <f t="shared" si="1244"/>
        <v>CH</v>
      </c>
      <c r="D1942" t="s">
        <v>1965</v>
      </c>
      <c r="E1942" t="str">
        <f t="shared" si="1245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1.22759966126022E-5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5.0682315831407102E-5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1.05191637372618E-4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1.1633262540306301E-4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3.8813454024667698E-5</v>
      </c>
    </row>
    <row r="1943" spans="2:11" x14ac:dyDescent="0.25">
      <c r="B1943" s="5" t="str">
        <f t="shared" si="1246"/>
        <v>SPS3</v>
      </c>
      <c r="C1943" s="5" t="str">
        <f t="shared" si="1244"/>
        <v>CH</v>
      </c>
      <c r="D1943" t="s">
        <v>1966</v>
      </c>
      <c r="E1943" t="str">
        <f t="shared" si="1245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1.0416866936968101E-5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3.6446918819281099E-5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6.1364139496389799E-5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7.2567711950300497E-5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2.5547134601745099E-5</v>
      </c>
    </row>
    <row r="1944" spans="2:11" x14ac:dyDescent="0.25">
      <c r="B1944" s="5" t="str">
        <f t="shared" si="1246"/>
        <v>SPS3</v>
      </c>
      <c r="C1944" s="5" t="str">
        <f t="shared" si="1244"/>
        <v>CH</v>
      </c>
      <c r="D1944" t="s">
        <v>1967</v>
      </c>
      <c r="E1944" t="str">
        <f t="shared" si="1245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246"/>
        <v>SPS3</v>
      </c>
      <c r="C1945" s="5" t="str">
        <f t="shared" si="1244"/>
        <v>CH</v>
      </c>
      <c r="D1945" t="s">
        <v>1968</v>
      </c>
      <c r="E1945" t="str">
        <f t="shared" si="1245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2.5600416519121932E-4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2.6224924556901032E-4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2.6496813364357817E-4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1.4922400383109863E-5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5.2478528548191084E-6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1.3595999633166199E-6</v>
      </c>
    </row>
    <row r="1946" spans="2:11" x14ac:dyDescent="0.25">
      <c r="B1946" s="5" t="str">
        <f t="shared" si="1246"/>
        <v>SPS3</v>
      </c>
      <c r="C1946" s="5" t="str">
        <f t="shared" si="1244"/>
        <v>CH</v>
      </c>
      <c r="D1946" t="s">
        <v>1969</v>
      </c>
      <c r="E1946" t="str">
        <f t="shared" si="1245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2.4120204747944077E-3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2.3972309872233506E-3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2.3663841529149542E-3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7.0936505967319867E-6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6.3307402443910506E-6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1.67728021461714E-6</v>
      </c>
    </row>
    <row r="1947" spans="2:11" x14ac:dyDescent="0.25">
      <c r="B1947" s="5" t="str">
        <f t="shared" si="1246"/>
        <v>SPS3</v>
      </c>
      <c r="C1947" s="5" t="str">
        <f t="shared" si="1244"/>
        <v>CH</v>
      </c>
      <c r="D1947" t="s">
        <v>1970</v>
      </c>
      <c r="E1947" t="str">
        <f t="shared" si="1245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1.5086460460758734E-4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1.6177273811341861E-4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1.6284236665380165E-4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1.8324277268820611E-5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7.862370826680686E-6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2.1177629630791801E-6</v>
      </c>
    </row>
    <row r="1948" spans="2:11" x14ac:dyDescent="0.25">
      <c r="B1948" s="5" t="str">
        <f t="shared" si="1246"/>
        <v>SPS3</v>
      </c>
      <c r="C1948" s="5" t="str">
        <f t="shared" si="1244"/>
        <v>CH</v>
      </c>
      <c r="D1948" t="s">
        <v>1971</v>
      </c>
      <c r="E1948" t="str">
        <f t="shared" si="1245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2.5369235478161266E-3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2.363886186516864E-3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4.6495006740844558E-6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8.3213049646740333E-6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2.2421869557683899E-6</v>
      </c>
    </row>
    <row r="1949" spans="2:11" x14ac:dyDescent="0.25">
      <c r="B1949" s="5" t="str">
        <f t="shared" si="1246"/>
        <v>SPS3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5.7088203838574758</v>
      </c>
      <c r="G1949" s="3">
        <f t="shared" ref="G1949:K1949" si="1247">SUM(G1950:G1972)</f>
        <v>5.7080975520144621</v>
      </c>
      <c r="H1949" s="3">
        <f t="shared" si="1247"/>
        <v>5.8315997902386254</v>
      </c>
      <c r="I1949" s="3">
        <f t="shared" si="1247"/>
        <v>6.414539613306431</v>
      </c>
      <c r="J1949" s="3">
        <f t="shared" si="1247"/>
        <v>6.9793639810619075</v>
      </c>
      <c r="K1949" s="3">
        <f t="shared" si="1247"/>
        <v>7.6448136893847973</v>
      </c>
    </row>
    <row r="1950" spans="2:11" x14ac:dyDescent="0.25">
      <c r="B1950" s="5" t="str">
        <f t="shared" si="1246"/>
        <v>SPS3</v>
      </c>
      <c r="C1950" s="5" t="str">
        <f t="shared" ref="C1950:C1972" si="1248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246"/>
        <v>SPS3</v>
      </c>
      <c r="C1951" s="5" t="str">
        <f t="shared" si="1248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7.3767024069299539E-3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1.5653497986364423E-2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2.3925146691416881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2.5932482921617384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1.1510369748965543</v>
      </c>
    </row>
    <row r="1952" spans="2:11" x14ac:dyDescent="0.25">
      <c r="B1952" s="5" t="str">
        <f t="shared" si="1246"/>
        <v>SPS3</v>
      </c>
      <c r="C1952" s="5" t="str">
        <f t="shared" si="1248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6.5566093043908204E-3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1.123777276043319E-2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1.7590297516315811E-2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0.74424915631756006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0.80742998829943302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0.86392178925235896</v>
      </c>
    </row>
    <row r="1953" spans="2:11" x14ac:dyDescent="0.25">
      <c r="B1953" s="5" t="str">
        <f t="shared" si="1246"/>
        <v>SPS3</v>
      </c>
      <c r="C1953" s="5" t="str">
        <f t="shared" si="1248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1.70627862808342E-2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1.939768250566494E-2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2.219696972623662E-2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2.3886319634807616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2.3472725975552402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3.7333816821461401</v>
      </c>
    </row>
    <row r="1954" spans="2:11" x14ac:dyDescent="0.25">
      <c r="B1954" s="5" t="str">
        <f t="shared" si="1246"/>
        <v>SPS3</v>
      </c>
      <c r="C1954" s="5" t="str">
        <f t="shared" si="1248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6.5728258861815891E-4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9.1221369625708794E-4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4.996351259569479E-4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6.9687303099891999E-4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3.0235915031570464E-4</v>
      </c>
    </row>
    <row r="1955" spans="2:11" x14ac:dyDescent="0.25">
      <c r="B1955" s="5" t="str">
        <f t="shared" si="1246"/>
        <v>SPS3</v>
      </c>
      <c r="C1955" s="5" t="str">
        <f t="shared" si="1248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1.40260631053531E-3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9.1402534339022415E-3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0.196587403850739</v>
      </c>
    </row>
    <row r="1956" spans="2:11" x14ac:dyDescent="0.25">
      <c r="B1956" s="5" t="str">
        <f t="shared" si="1246"/>
        <v>SPS3</v>
      </c>
      <c r="C1956" s="5" t="str">
        <f t="shared" si="1248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9.0623907925653892E-4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3.8160247769825238E-3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5.0573618876868301E-3</v>
      </c>
    </row>
    <row r="1957" spans="2:11" x14ac:dyDescent="0.25">
      <c r="B1957" s="5" t="str">
        <f t="shared" si="1246"/>
        <v>SPS3</v>
      </c>
      <c r="C1957" s="5" t="str">
        <f t="shared" si="1248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1.06557353532797E-2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5.9058465997888802E-3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7.5186278264288801E-3</v>
      </c>
    </row>
    <row r="1958" spans="2:11" x14ac:dyDescent="0.25">
      <c r="B1958" s="5" t="str">
        <f t="shared" si="1246"/>
        <v>SPS3</v>
      </c>
      <c r="C1958" s="5" t="str">
        <f t="shared" si="1248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2.4729934603574501E-5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5.1626077624589797E-5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2.0368432546417702E-5</v>
      </c>
    </row>
    <row r="1959" spans="2:11" x14ac:dyDescent="0.25">
      <c r="B1959" s="5" t="str">
        <f t="shared" si="1246"/>
        <v>SPS3</v>
      </c>
      <c r="C1959" s="5" t="str">
        <f t="shared" si="1248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0.10764593311380001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0.109457674109094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3.6941573645468038E-3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6.0705936093113288E-3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1.62243054455675</v>
      </c>
    </row>
    <row r="1960" spans="2:11" x14ac:dyDescent="0.25">
      <c r="B1960" s="5" t="str">
        <f t="shared" si="1246"/>
        <v>SPS3</v>
      </c>
      <c r="C1960" s="5" t="str">
        <f t="shared" si="1248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1.50493946113075E-3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2.8684985833150102E-3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3.18389255658589E-3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3.2104685188609899E-3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1.9577569125926301E-3</v>
      </c>
    </row>
    <row r="1961" spans="2:11" x14ac:dyDescent="0.25">
      <c r="B1961" s="5" t="str">
        <f t="shared" si="1246"/>
        <v>SPS3</v>
      </c>
      <c r="C1961" s="5" t="str">
        <f t="shared" si="1248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7.4137907019614202E-2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0.89172214662666205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0.86860025679555197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1.20241194409366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6.2542130274644392E-2</v>
      </c>
    </row>
    <row r="1962" spans="2:11" x14ac:dyDescent="0.25">
      <c r="B1962" s="5" t="str">
        <f t="shared" si="1246"/>
        <v>SPS3</v>
      </c>
      <c r="C1962" s="5" t="str">
        <f t="shared" si="1248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4.0524852388369395E-5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7.5426863827874593E-5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6.151973222236101E-5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5.80930801138251E-5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1.35200770005104E-5</v>
      </c>
    </row>
    <row r="1963" spans="2:11" x14ac:dyDescent="0.25">
      <c r="B1963" s="5" t="str">
        <f t="shared" si="1246"/>
        <v>SPS3</v>
      </c>
      <c r="C1963" s="5" t="str">
        <f t="shared" si="1248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2.2837880061461755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246"/>
        <v>SPS3</v>
      </c>
      <c r="C1964" s="5" t="str">
        <f t="shared" si="1248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0.54775681007105947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1.0552649710487425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9.0889972487314882E-5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3.1008730536707799E-5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2.2592074161468999E-5</v>
      </c>
    </row>
    <row r="1965" spans="2:11" x14ac:dyDescent="0.25">
      <c r="B1965" s="5" t="str">
        <f t="shared" si="1246"/>
        <v>SPS3</v>
      </c>
      <c r="C1965" s="5" t="str">
        <f t="shared" si="1248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0.18450141490176347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0.22838916987510674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0.38175067889368214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-8.3314525659862991E-6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-3.1455504220539E-6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25">
      <c r="B1966" s="5" t="str">
        <f t="shared" si="1246"/>
        <v>SPS3</v>
      </c>
      <c r="C1966" s="5" t="str">
        <f t="shared" si="1248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0.80672534871057566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0.9549553871320583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0.95605969726221429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-9.3287217570420071E-6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-1.84877696650141E-5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-4.4352851387848597E-6</v>
      </c>
    </row>
    <row r="1967" spans="2:11" x14ac:dyDescent="0.25">
      <c r="B1967" s="5" t="str">
        <f t="shared" si="1246"/>
        <v>SPS3</v>
      </c>
      <c r="C1967" s="5" t="str">
        <f t="shared" si="1248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3.6148225225670189E-3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3.1744215797237273E-4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3.3194349751966898E-4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-5.2376625058917001E-6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-5.7328452680688899E-6</v>
      </c>
    </row>
    <row r="1968" spans="2:11" x14ac:dyDescent="0.25">
      <c r="B1968" s="5" t="str">
        <f t="shared" si="1246"/>
        <v>SPS3</v>
      </c>
      <c r="C1968" s="5" t="str">
        <f t="shared" si="1248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246"/>
        <v>SPS3</v>
      </c>
      <c r="C1969" s="5" t="str">
        <f t="shared" si="1248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1.97174716329815E-3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5.7742671775334996E-3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4.0770076552980349E-5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4.2004413803292399E-5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3.0746177285475701E-5</v>
      </c>
    </row>
    <row r="1970" spans="2:11" x14ac:dyDescent="0.25">
      <c r="B1970" s="5" t="str">
        <f t="shared" si="1246"/>
        <v>SPS3</v>
      </c>
      <c r="C1970" s="5" t="str">
        <f t="shared" si="1248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8.8170113755688692E-4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2.6579256604789599E-2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7.4715701675028077E-6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0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0</v>
      </c>
    </row>
    <row r="1971" spans="2:11" x14ac:dyDescent="0.25">
      <c r="B1971" s="5" t="str">
        <f t="shared" si="1246"/>
        <v>SPS3</v>
      </c>
      <c r="C1971" s="5" t="str">
        <f t="shared" si="1248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4.45258732984182E-4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8.4154973542073302E-4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-4.3891802268805724E-7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</v>
      </c>
    </row>
    <row r="1972" spans="2:11" x14ac:dyDescent="0.25">
      <c r="B1972" s="5" t="str">
        <f t="shared" ref="B1972:B2035" si="1249">B1971</f>
        <v>SPS3</v>
      </c>
      <c r="C1972" s="5" t="str">
        <f t="shared" si="1248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2.0351604456982702E-5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5.0216396119948598E-5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-7.4275047362200141E-7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 t="shared" si="1249"/>
        <v>SPS3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2.8495322311241824</v>
      </c>
      <c r="G1973" s="3">
        <f t="shared" ref="G1973" si="1250">SUM(G1974:G1996)</f>
        <v>3.0454213345680441</v>
      </c>
      <c r="H1973" s="3">
        <f t="shared" ref="H1973" si="1251">SUM(H1974:H1996)</f>
        <v>2.8886775213118043</v>
      </c>
      <c r="I1973" s="3">
        <f t="shared" ref="I1973" si="1252">SUM(I1974:I1996)</f>
        <v>2.9561425822503198</v>
      </c>
      <c r="J1973" s="3">
        <f t="shared" ref="J1973" si="1253">SUM(J1974:J1996)</f>
        <v>2.9630137391623523</v>
      </c>
      <c r="K1973" s="3">
        <f t="shared" ref="K1973" si="1254">SUM(K1974:K1996)</f>
        <v>2.9787802625083977</v>
      </c>
    </row>
    <row r="1974" spans="2:11" x14ac:dyDescent="0.25">
      <c r="B1974" s="5" t="str">
        <f t="shared" si="1249"/>
        <v>SPS3</v>
      </c>
      <c r="C1974" s="5" t="str">
        <f t="shared" ref="C1974:C1996" si="1255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249"/>
        <v>SPS3</v>
      </c>
      <c r="C1975" s="5" t="str">
        <f t="shared" si="1255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5.1388072814141789E-3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7.64416309949779E-3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1.3192881074621785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1.2887496672227059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1.0467130175542827</v>
      </c>
    </row>
    <row r="1976" spans="2:11" x14ac:dyDescent="0.25">
      <c r="B1976" s="5" t="str">
        <f t="shared" si="1249"/>
        <v>SPS3</v>
      </c>
      <c r="C1976" s="5" t="str">
        <f t="shared" si="1255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4.7884821580929009E-3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5.117063931457908E-3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7.2514712063718127E-3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0.93481149835733468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0.95907675053182451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1.0951625639868987</v>
      </c>
    </row>
    <row r="1977" spans="2:11" x14ac:dyDescent="0.25">
      <c r="B1977" s="5" t="str">
        <f t="shared" si="1249"/>
        <v>SPS3</v>
      </c>
      <c r="C1977" s="5" t="str">
        <f t="shared" si="1255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1.5112905212469631E-3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2.5877251413167794E-3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3.2800447195405103E-3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6.1511706466359601E-3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1.2995387350158299E-2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0.11939055312921101</v>
      </c>
    </row>
    <row r="1978" spans="2:11" x14ac:dyDescent="0.25">
      <c r="B1978" s="5" t="str">
        <f t="shared" si="1249"/>
        <v>SPS3</v>
      </c>
      <c r="C1978" s="5" t="str">
        <f t="shared" si="1255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2.31478766176806E-4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4.5360667292849901E-4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4.8919307438569819E-4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7.3200759656962271E-4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2.76609035736986E-4</v>
      </c>
    </row>
    <row r="1979" spans="2:11" x14ac:dyDescent="0.25">
      <c r="B1979" s="5" t="str">
        <f t="shared" si="1249"/>
        <v>SPS3</v>
      </c>
      <c r="C1979" s="5" t="str">
        <f t="shared" si="1255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5.5890628845118298E-3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4.0299691856129976E-3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3.0587343424285703E-3</v>
      </c>
    </row>
    <row r="1980" spans="2:11" x14ac:dyDescent="0.25">
      <c r="B1980" s="5" t="str">
        <f t="shared" si="1249"/>
        <v>SPS3</v>
      </c>
      <c r="C1980" s="5" t="str">
        <f t="shared" si="1255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1.8195278770353701E-3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3.068033809804391E-3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3.3948685546677498E-3</v>
      </c>
    </row>
    <row r="1981" spans="2:11" x14ac:dyDescent="0.25">
      <c r="B1981" s="5" t="str">
        <f t="shared" si="1249"/>
        <v>SPS3</v>
      </c>
      <c r="C1981" s="5" t="str">
        <f t="shared" si="1255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8.7749508485438995E-4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1.19721156944249E-3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7.5782671579412611E-2</v>
      </c>
    </row>
    <row r="1982" spans="2:11" x14ac:dyDescent="0.25">
      <c r="B1982" s="5" t="str">
        <f t="shared" si="1249"/>
        <v>SPS3</v>
      </c>
      <c r="C1982" s="5" t="str">
        <f t="shared" si="1255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5.85731636574862E-5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1.0545531650949101E-4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4.5014490850039901E-5</v>
      </c>
    </row>
    <row r="1983" spans="2:11" x14ac:dyDescent="0.25">
      <c r="B1983" s="5" t="str">
        <f t="shared" si="1249"/>
        <v>SPS3</v>
      </c>
      <c r="C1983" s="5" t="str">
        <f t="shared" si="1255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1.25472329500366E-2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2.3161622091022824E-2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0.11558287338071298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0.15024920221568816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0.44976210747648504</v>
      </c>
    </row>
    <row r="1984" spans="2:11" x14ac:dyDescent="0.25">
      <c r="B1984" s="5" t="str">
        <f t="shared" si="1249"/>
        <v>SPS3</v>
      </c>
      <c r="C1984" s="5" t="str">
        <f t="shared" si="1255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1.3722632146012199E-3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3.02913085992133E-2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0.31138617830035897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0.28909620640263972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0.11924325595504</v>
      </c>
    </row>
    <row r="1985" spans="2:11" x14ac:dyDescent="0.25">
      <c r="B1985" s="5" t="str">
        <f t="shared" si="1249"/>
        <v>SPS3</v>
      </c>
      <c r="C1985" s="5" t="str">
        <f t="shared" si="1255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5.6846474308285704E-4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4.8440519962664602E-3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0.25995182929249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0.25350106203722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6.5888920587470007E-2</v>
      </c>
    </row>
    <row r="1986" spans="2:11" x14ac:dyDescent="0.25">
      <c r="B1986" s="5" t="str">
        <f t="shared" si="1249"/>
        <v>SPS3</v>
      </c>
      <c r="C1986" s="5" t="str">
        <f t="shared" si="1255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8.6469362799260294E-5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1.59721137747906E-4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1.5163021591224699E-4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1.86649375961146E-4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5.29934928349545E-5</v>
      </c>
    </row>
    <row r="1987" spans="2:11" x14ac:dyDescent="0.25">
      <c r="B1987" s="5" t="str">
        <f t="shared" si="1249"/>
        <v>SPS3</v>
      </c>
      <c r="C1987" s="5" t="str">
        <f t="shared" si="1255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249"/>
        <v>SPS3</v>
      </c>
      <c r="C1988" s="5" t="str">
        <f t="shared" si="1255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0.84643100305306418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1.0343301319193188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-6.4738723949773341E-6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0</v>
      </c>
    </row>
    <row r="1989" spans="2:11" x14ac:dyDescent="0.25">
      <c r="B1989" s="5" t="str">
        <f t="shared" si="1249"/>
        <v>SPS3</v>
      </c>
      <c r="C1989" s="5" t="str">
        <f t="shared" si="1255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0.90773953971320542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0.90902256576466944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-8.3612923146595894E-6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0</v>
      </c>
    </row>
    <row r="1990" spans="2:11" x14ac:dyDescent="0.25">
      <c r="B1990" s="5" t="str">
        <f t="shared" si="1249"/>
        <v>SPS3</v>
      </c>
      <c r="C1990" s="5" t="str">
        <f t="shared" si="1255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0.20064127487693639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0.19384543587303407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0.194249550562133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-2.2240109618840674E-6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1.5274998019038099E-5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5.2320113654982998E-6</v>
      </c>
    </row>
    <row r="1991" spans="2:11" x14ac:dyDescent="0.25">
      <c r="B1991" s="5" t="str">
        <f t="shared" si="1249"/>
        <v>SPS3</v>
      </c>
      <c r="C1991" s="5" t="str">
        <f t="shared" si="1255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1.2527483055125903E-2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4.4997539845332678E-4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5.1469875270061403E-4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-5.1458225579479623E-6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249"/>
        <v>SPS3</v>
      </c>
      <c r="C1992" s="5" t="str">
        <f t="shared" si="1255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249"/>
        <v>SPS3</v>
      </c>
      <c r="C1993" s="5" t="str">
        <f t="shared" si="1255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2.1194300074332899E-3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4.9097852354053895E-3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2.3932874206603538E-6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0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0</v>
      </c>
    </row>
    <row r="1994" spans="2:11" x14ac:dyDescent="0.25">
      <c r="B1994" s="5" t="str">
        <f t="shared" si="1249"/>
        <v>SPS3</v>
      </c>
      <c r="C1994" s="5" t="str">
        <f t="shared" si="1255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4.6681319305786701E-4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1.3562429156596899E-3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3.1048722893993009E-7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0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0</v>
      </c>
    </row>
    <row r="1995" spans="2:11" x14ac:dyDescent="0.25">
      <c r="B1995" s="5" t="str">
        <f t="shared" si="1249"/>
        <v>SPS3</v>
      </c>
      <c r="C1995" s="5" t="str">
        <f t="shared" si="1255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2.3970132018825703E-4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5.8552937537764205E-4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5.4299619080919861E-6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1.08615501960876E-5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3.7203117147401799E-6</v>
      </c>
    </row>
    <row r="1996" spans="2:11" x14ac:dyDescent="0.25">
      <c r="B1996" s="5" t="str">
        <f t="shared" si="1249"/>
        <v>SPS3</v>
      </c>
      <c r="C1996" s="5" t="str">
        <f t="shared" si="1255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4.53163623396116E-5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1.01393353714764E-4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-4.8622807656609572E-7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 t="shared" si="1249"/>
        <v>SPS3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399.86570646726489</v>
      </c>
      <c r="G1997" s="3">
        <f t="shared" ref="G1997:K1997" si="1256">SUM(G1998:G2006)</f>
        <v>399.40179330986712</v>
      </c>
      <c r="H1997" s="3">
        <f t="shared" si="1256"/>
        <v>405.8440234333371</v>
      </c>
      <c r="I1997" s="3">
        <f t="shared" si="1256"/>
        <v>416.58785951621081</v>
      </c>
      <c r="J1997" s="3">
        <f t="shared" si="1256"/>
        <v>464.46224668887794</v>
      </c>
      <c r="K1997" s="3">
        <f t="shared" si="1256"/>
        <v>502.86435835244851</v>
      </c>
    </row>
    <row r="1998" spans="2:11" x14ac:dyDescent="0.25">
      <c r="B1998" s="5" t="str">
        <f t="shared" si="1249"/>
        <v>SPS3</v>
      </c>
      <c r="C1998" s="5" t="str">
        <f t="shared" ref="C1998:C2006" si="1257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249"/>
        <v>SPS3</v>
      </c>
      <c r="C1999" s="5" t="str">
        <f t="shared" si="1257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1.6988897094000734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3.7476340744976158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5.6315000014981607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81.987644626871671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341.56861137073508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353.47807804977691</v>
      </c>
    </row>
    <row r="2000" spans="2:11" x14ac:dyDescent="0.25">
      <c r="B2000" s="5" t="str">
        <f t="shared" si="1249"/>
        <v>SPS3</v>
      </c>
      <c r="C2000" s="5" t="str">
        <f t="shared" si="1257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6.7349918677408098E-3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1.5001973802103399E-2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3.0022527934548501E-2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0.69946445769747156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14.148952964217456</v>
      </c>
    </row>
    <row r="2001" spans="2:11" x14ac:dyDescent="0.25">
      <c r="B2001" s="5" t="str">
        <f t="shared" si="1249"/>
        <v>SPS3</v>
      </c>
      <c r="C2001" s="5" t="str">
        <f t="shared" si="1257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30.634644695868342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249"/>
        <v>SPS3</v>
      </c>
      <c r="C2002" s="5" t="str">
        <f t="shared" si="1257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12.434896091578786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14.167187399082664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26.548778345920379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47.608233264194268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40.282610478567847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6.2390139021301048</v>
      </c>
    </row>
    <row r="2003" spans="2:11" x14ac:dyDescent="0.25">
      <c r="B2003" s="5" t="str">
        <f t="shared" si="1249"/>
        <v>SPS3</v>
      </c>
      <c r="C2003" s="5" t="str">
        <f t="shared" si="1257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152.66181484099118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76.330973659285391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249"/>
        <v>SPS3</v>
      </c>
      <c r="C2004" s="5" t="str">
        <f t="shared" si="1257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106.16876776494576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125.17279866767547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125.36393932555742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71.130916076920116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0.13711721025180257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3.3388834790530134E-2</v>
      </c>
    </row>
    <row r="2005" spans="2:11" x14ac:dyDescent="0.25">
      <c r="B2005" s="5" t="str">
        <f t="shared" si="1249"/>
        <v>SPS3</v>
      </c>
      <c r="C2005" s="5" t="str">
        <f t="shared" si="1257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13.811863153559701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61.583243654256002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123.528806903891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81.771718795054397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128.96222867185017</v>
      </c>
    </row>
    <row r="2006" spans="2:11" x14ac:dyDescent="0.25">
      <c r="B2006" s="5" t="str">
        <f t="shared" si="1249"/>
        <v>SPS3</v>
      </c>
      <c r="C2006" s="5" t="str">
        <f t="shared" si="1257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2.6681529013402487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2.5199083565171674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2.1051005954434516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3.9291237804921046E-3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2.7243765713570898E-3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2.69592968329368E-3</v>
      </c>
    </row>
    <row r="2007" spans="2:11" x14ac:dyDescent="0.25">
      <c r="B2007" s="5" t="str">
        <f t="shared" si="1249"/>
        <v>SPS3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41.456729314976926</v>
      </c>
      <c r="G2007" s="3">
        <f t="shared" ref="G2007" si="1258">SUM(G2008:G2016)</f>
        <v>42.399883766520034</v>
      </c>
      <c r="H2007" s="3">
        <f t="shared" ref="H2007" si="1259">SUM(H2008:H2016)</f>
        <v>43.35833170655296</v>
      </c>
      <c r="I2007" s="3">
        <f t="shared" ref="I2007" si="1260">SUM(I2008:I2016)</f>
        <v>45.026423160615252</v>
      </c>
      <c r="J2007" s="3">
        <f t="shared" ref="J2007" si="1261">SUM(J2008:J2016)</f>
        <v>48.968671179085874</v>
      </c>
      <c r="K2007" s="3">
        <f t="shared" ref="K2007" si="1262">SUM(K2008:K2016)</f>
        <v>52.903453319604779</v>
      </c>
    </row>
    <row r="2008" spans="2:11" x14ac:dyDescent="0.25">
      <c r="B2008" s="5" t="str">
        <f t="shared" si="1249"/>
        <v>SPS3</v>
      </c>
      <c r="C2008" s="5" t="str">
        <f t="shared" ref="C2008:C2016" si="1263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249"/>
        <v>SPS3</v>
      </c>
      <c r="C2009" s="5" t="str">
        <f t="shared" si="1263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5.1465040341463722E-2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9.9137090170889869E-2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0.1118624527181416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1.1051567923434999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1.4340253783042999E-2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40.558397276080399</v>
      </c>
    </row>
    <row r="2010" spans="2:11" x14ac:dyDescent="0.25">
      <c r="B2010" s="5" t="str">
        <f t="shared" si="1249"/>
        <v>SPS3</v>
      </c>
      <c r="C2010" s="5" t="str">
        <f t="shared" si="1263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1.397347858735298E-2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4.4087170515928031E-2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4.4466054996606844E-2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1.1911928976453174E-2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0.13257121028653301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1.4051379245362399</v>
      </c>
    </row>
    <row r="2011" spans="2:11" x14ac:dyDescent="0.25">
      <c r="B2011" s="5" t="str">
        <f t="shared" si="1249"/>
        <v>SPS3</v>
      </c>
      <c r="C2011" s="5" t="str">
        <f t="shared" si="1263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249"/>
        <v>SPS3</v>
      </c>
      <c r="C2012" s="5" t="str">
        <f t="shared" si="1263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249"/>
        <v>SPS3</v>
      </c>
      <c r="C2013" s="5" t="str">
        <f t="shared" si="1263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9.8872350281678418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249"/>
        <v>SPS3</v>
      </c>
      <c r="C2014" s="5" t="str">
        <f t="shared" si="1263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11.60733051287696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11.226000508377115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9.867047238618273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0.98305801045585639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8.7164256979279497E-3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1.3666101261020195E-3</v>
      </c>
    </row>
    <row r="2015" spans="2:11" x14ac:dyDescent="0.25">
      <c r="B2015" s="5" t="str">
        <f t="shared" si="1249"/>
        <v>SPS3</v>
      </c>
      <c r="C2015" s="5" t="str">
        <f t="shared" si="1263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5.27142348436477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13.508120457448401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32.986898278592498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48.760862206099297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10.886366548731599</v>
      </c>
    </row>
    <row r="2016" spans="2:11" x14ac:dyDescent="0.25">
      <c r="B2016" s="5" t="str">
        <f t="shared" si="1249"/>
        <v>SPS3</v>
      </c>
      <c r="C2016" s="5" t="str">
        <f t="shared" si="1263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0.1219602831711491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5.2168846424628781E-2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5.2168836104839994E-2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5.2163122079098637E-2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5.2181083219076489E-2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5.2184960130432403E-2</v>
      </c>
    </row>
    <row r="2017" spans="2:11" x14ac:dyDescent="0.25">
      <c r="B2017" s="5" t="str">
        <f t="shared" si="1249"/>
        <v>SPS3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264">SUM(F2018,F2022,F2025)</f>
        <v>4.6385205192669803E-4</v>
      </c>
      <c r="G2017" s="3">
        <f t="shared" ref="G2017" si="1265">SUM(G2018,G2022,G2025)</f>
        <v>1.0658763479344426E-3</v>
      </c>
      <c r="H2017" s="3">
        <f t="shared" ref="H2017" si="1266">SUM(H2018,H2022,H2025)</f>
        <v>4.2651711194746809E-3</v>
      </c>
      <c r="I2017" s="3">
        <f t="shared" ref="I2017" si="1267">SUM(I2018,I2022,I2025)</f>
        <v>1.0550116830822849</v>
      </c>
      <c r="J2017" s="3">
        <f t="shared" ref="J2017" si="1268">SUM(J2018,J2022,J2025)</f>
        <v>1.6441699933446114</v>
      </c>
      <c r="K2017" s="3">
        <f t="shared" ref="K2017" si="1269">SUM(K2018,K2022,K2025)</f>
        <v>2.5441090963830888</v>
      </c>
    </row>
    <row r="2018" spans="2:11" x14ac:dyDescent="0.25">
      <c r="B2018" s="5" t="str">
        <f t="shared" si="1249"/>
        <v>SPS3</v>
      </c>
      <c r="C2018" s="5" t="str">
        <f t="shared" ref="C2018:C2027" si="127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4.6385205192669803E-4</v>
      </c>
      <c r="G2018" s="1" cm="1">
        <f t="array" ref="G2018">SUMPRODUCT(ISNUMBER(SEARCH("SUP_ELCH2*",[1]OUT_SyntheticFuels!$C$4:$C$1000))*1,("Var_cap"=[1]OUT_SyntheticFuels!$B$4:$B$1000)*1,[1]OUT_SyntheticFuels!F$4:F$1000)</f>
        <v>1.0658763479344426E-3</v>
      </c>
      <c r="H2018" s="1" cm="1">
        <f t="array" ref="H2018">SUMPRODUCT(ISNUMBER(SEARCH("SUP_ELCH2*",[1]OUT_SyntheticFuels!$C$4:$C$1000))*1,("Var_cap"=[1]OUT_SyntheticFuels!$B$4:$B$1000)*1,[1]OUT_SyntheticFuels!G$4:G$1000)</f>
        <v>4.2651711194746809E-3</v>
      </c>
      <c r="I2018" s="1" cm="1">
        <f t="array" ref="I2018">SUMPRODUCT(ISNUMBER(SEARCH("SUP_ELCH2*",[1]OUT_SyntheticFuels!$C$4:$C$1000))*1,("Var_cap"=[1]OUT_SyntheticFuels!$B$4:$B$1000)*1,[1]OUT_SyntheticFuels!H$4:H$1000)</f>
        <v>1.0550107237300304</v>
      </c>
      <c r="J2018" s="1" cm="1">
        <f t="array" ref="J2018">SUMPRODUCT(ISNUMBER(SEARCH("SUP_ELCH2*",[1]OUT_SyntheticFuels!$C$4:$C$1000))*1,("Var_cap"=[1]OUT_SyntheticFuels!$B$4:$B$1000)*1,[1]OUT_SyntheticFuels!I$4:I$1000)</f>
        <v>1.6441664152742312</v>
      </c>
      <c r="K2018" s="1" cm="1">
        <f t="array" ref="K2018">SUMPRODUCT(ISNUMBER(SEARCH("SUP_ELCH2*",[1]OUT_SyntheticFuels!$C$4:$C$1000))*1,("Var_cap"=[1]OUT_SyntheticFuels!$B$4:$B$1000)*1,[1]OUT_SyntheticFuels!J$4:J$1000)</f>
        <v>2.3215442183535515</v>
      </c>
    </row>
    <row r="2019" spans="2:11" x14ac:dyDescent="0.25">
      <c r="B2019" s="5" t="str">
        <f t="shared" si="1249"/>
        <v>SPS3</v>
      </c>
      <c r="C2019" s="5" t="str">
        <f t="shared" si="1270"/>
        <v>CH</v>
      </c>
      <c r="D2019" t="s">
        <v>2146</v>
      </c>
      <c r="E2019" t="s">
        <v>2155</v>
      </c>
      <c r="F2019" s="1">
        <f t="shared" ref="F2019" si="1271">F2018-F2020-F2021</f>
        <v>4.6385205192669803E-4</v>
      </c>
      <c r="G2019" s="1">
        <f t="shared" ref="G2019" si="1272">G2018-G2020-G2021</f>
        <v>1.0658763479344426E-3</v>
      </c>
      <c r="H2019" s="1">
        <f t="shared" ref="H2019" si="1273">H2018-H2020-H2021</f>
        <v>4.2651711194746809E-3</v>
      </c>
      <c r="I2019" s="1">
        <f t="shared" ref="I2019" si="1274">I2018-I2020-I2021</f>
        <v>0.60296857850547536</v>
      </c>
      <c r="J2019" s="1">
        <f t="shared" ref="J2019" si="1275">J2018-J2020-J2021</f>
        <v>1.1635615159805954</v>
      </c>
      <c r="K2019" s="1">
        <f t="shared" ref="K2019" si="1276">K2018-K2020-K2021</f>
        <v>1.8130807062821006</v>
      </c>
    </row>
    <row r="2020" spans="2:11" x14ac:dyDescent="0.25">
      <c r="B2020" s="5" t="str">
        <f t="shared" si="1249"/>
        <v>SPS3</v>
      </c>
      <c r="C2020" s="5" t="str">
        <f t="shared" si="127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0.45204214522455499</v>
      </c>
      <c r="J2020" s="1" cm="1">
        <f t="array" ref="J2020">SUMPRODUCT(ISNUMBER(SEARCH("SUP_ELCH2*D",[1]OUT_SyntheticFuels!$C$4:$C$1000))*1,("Var_cap"=[1]OUT_SyntheticFuels!$B$4:$B$1000)*1,[1]OUT_SyntheticFuels!I$4:I$1000)</f>
        <v>0.47991098430535301</v>
      </c>
      <c r="K2020" s="1" cm="1">
        <f t="array" ref="K2020">SUMPRODUCT(ISNUMBER(SEARCH("SUP_ELCH2*D",[1]OUT_SyntheticFuels!$C$4:$C$1000))*1,("Var_cap"=[1]OUT_SyntheticFuels!$B$4:$B$1000)*1,[1]OUT_SyntheticFuels!J$4:J$1000)</f>
        <v>0.507775433092715</v>
      </c>
    </row>
    <row r="2021" spans="2:11" x14ac:dyDescent="0.25">
      <c r="B2021" s="5" t="str">
        <f t="shared" si="1249"/>
        <v>SPS3</v>
      </c>
      <c r="C2021" s="5" t="str">
        <f t="shared" si="127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6.9391498828282397E-4</v>
      </c>
      <c r="K2021" s="1" cm="1">
        <f t="array" ref="K2021">SUMPRODUCT(ISNUMBER(SEARCH("SUP_ELCH2*SOEC*",[1]OUT_SyntheticFuels!$C$4:$C$1000))*1,("Var_cap"=[1]OUT_SyntheticFuels!$B$4:$B$1000)*1,[1]OUT_SyntheticFuels!J$4:J$1000)</f>
        <v>6.8807897873585013E-4</v>
      </c>
    </row>
    <row r="2022" spans="2:11" x14ac:dyDescent="0.25">
      <c r="B2022" s="5" t="str">
        <f t="shared" si="1249"/>
        <v>SPS3</v>
      </c>
      <c r="C2022" s="5" t="str">
        <f t="shared" si="1270"/>
        <v>CH</v>
      </c>
      <c r="D2022" t="s">
        <v>2149</v>
      </c>
      <c r="E2022" t="s">
        <v>2155</v>
      </c>
      <c r="F2022" s="1">
        <f t="shared" ref="F2022" si="1277">SUM(F2023:F2024)</f>
        <v>0</v>
      </c>
      <c r="G2022" s="1">
        <f t="shared" ref="G2022" si="1278">SUM(G2023:G2024)</f>
        <v>0</v>
      </c>
      <c r="H2022" s="1">
        <f t="shared" ref="H2022" si="1279">SUM(H2023:H2024)</f>
        <v>0</v>
      </c>
      <c r="I2022" s="1">
        <f t="shared" ref="I2022" si="1280">SUM(I2023:I2024)</f>
        <v>9.5935225446028098E-7</v>
      </c>
      <c r="J2022" s="1">
        <f t="shared" ref="J2022" si="1281">SUM(J2023:J2024)</f>
        <v>3.5780703802820533E-6</v>
      </c>
      <c r="K2022" s="1">
        <f t="shared" ref="K2022" si="1282">SUM(K2023:K2024)</f>
        <v>1.7230475414472559E-4</v>
      </c>
    </row>
    <row r="2023" spans="2:11" x14ac:dyDescent="0.25">
      <c r="B2023" s="5" t="str">
        <f t="shared" si="1249"/>
        <v>SPS3</v>
      </c>
      <c r="C2023" s="5" t="str">
        <f t="shared" si="127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9.5935225446028098E-7</v>
      </c>
      <c r="J2023" s="1" cm="1">
        <f t="array" ref="J2023">SUMPRODUCT(ISNUMBER(SEARCH("SUP_NGAH2",[1]OUT_SyntheticFuels!$C$4:$C$1000))*1,("Var_cap"=[1]OUT_SyntheticFuels!$B$4:$B$1000)*1,[1]OUT_SyntheticFuels!I$4:I$1000)-J2024</f>
        <v>2.8443208423239995E-6</v>
      </c>
      <c r="K2023" s="1" cm="1">
        <f t="array" ref="K2023">SUMPRODUCT(ISNUMBER(SEARCH("SUP_NGAH2",[1]OUT_SyntheticFuels!$C$4:$C$1000))*1,("Var_cap"=[1]OUT_SyntheticFuels!$B$4:$B$1000)*1,[1]OUT_SyntheticFuels!J$4:J$1000)-K2024</f>
        <v>9.0886227218434494E-5</v>
      </c>
    </row>
    <row r="2024" spans="2:11" x14ac:dyDescent="0.25">
      <c r="B2024" s="5" t="str">
        <f t="shared" si="1249"/>
        <v>SPS3</v>
      </c>
      <c r="C2024" s="5" t="str">
        <f t="shared" si="127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7.3374953795805396E-7</v>
      </c>
      <c r="K2024" s="1" cm="1">
        <f t="array" ref="K2024">SUMPRODUCT(ISNUMBER(SEARCH("SUP_NGAH2CCS",[1]OUT_SyntheticFuels!$C$4:$C$1000))*1,("Var_cap"=[1]OUT_SyntheticFuels!$B$4:$B$1000)*1,[1]OUT_SyntheticFuels!J$4:J$1000)</f>
        <v>8.1418526926291092E-5</v>
      </c>
    </row>
    <row r="2025" spans="2:11" x14ac:dyDescent="0.25">
      <c r="B2025" s="5" t="str">
        <f t="shared" si="1249"/>
        <v>SPS3</v>
      </c>
      <c r="C2025" s="5" t="str">
        <f t="shared" si="1270"/>
        <v>CH</v>
      </c>
      <c r="D2025" t="s">
        <v>2152</v>
      </c>
      <c r="E2025" t="s">
        <v>2155</v>
      </c>
      <c r="F2025" s="1">
        <f t="shared" ref="F2025" si="1283">SUM(F2026:F2027)</f>
        <v>0</v>
      </c>
      <c r="G2025" s="1">
        <f t="shared" ref="G2025" si="1284">SUM(G2026:G2027)</f>
        <v>0</v>
      </c>
      <c r="H2025" s="1">
        <f t="shared" ref="H2025" si="1285">SUM(H2026:H2027)</f>
        <v>0</v>
      </c>
      <c r="I2025" s="1">
        <f t="shared" ref="I2025" si="1286">SUM(I2026:I2027)</f>
        <v>0</v>
      </c>
      <c r="J2025" s="1">
        <f t="shared" ref="J2025" si="1287">SUM(J2026:J2027)</f>
        <v>0</v>
      </c>
      <c r="K2025" s="1">
        <f t="shared" ref="K2025" si="1288">SUM(K2026:K2027)</f>
        <v>0.22239257327539266</v>
      </c>
    </row>
    <row r="2026" spans="2:11" x14ac:dyDescent="0.25">
      <c r="B2026" s="5" t="str">
        <f t="shared" si="1249"/>
        <v>SPS3</v>
      </c>
      <c r="C2026" s="5" t="str">
        <f t="shared" si="127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3.1444068971653305E-5</v>
      </c>
    </row>
    <row r="2027" spans="2:11" x14ac:dyDescent="0.25">
      <c r="B2027" s="5" t="str">
        <f t="shared" si="1249"/>
        <v>SPS3</v>
      </c>
      <c r="C2027" s="5" t="str">
        <f t="shared" si="127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0.22236112920642101</v>
      </c>
    </row>
    <row r="2028" spans="2:11" x14ac:dyDescent="0.25">
      <c r="B2028" s="5" t="str">
        <f t="shared" si="1249"/>
        <v>SPS3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si="1249"/>
        <v>SPS3</v>
      </c>
      <c r="C2029" s="5" t="str">
        <f t="shared" ref="C2029:C2044" si="1289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2.0237053736394763E-2</v>
      </c>
      <c r="G2029" s="7" cm="1">
        <f t="array" ref="G2029">SUMPRODUCT(("CT_CWODBDS"=[1]OUT_SyntheticFuels!$C$4:$C$1000)*1,("Var_cap"=[1]OUT_SyntheticFuels!$B$4:$B$1000)*1,[1]OUT_SyntheticFuels!F$4:F$1000)</f>
        <v>1.4423095665014367E-2</v>
      </c>
      <c r="H2029" s="7" cm="1">
        <f t="array" ref="H2029">SUMPRODUCT(("CT_CWODBDS"=[1]OUT_SyntheticFuels!$C$4:$C$1000)*1,("Var_cap"=[1]OUT_SyntheticFuels!$B$4:$B$1000)*1,[1]OUT_SyntheticFuels!G$4:G$1000)</f>
        <v>9.8304974514969168E-5</v>
      </c>
      <c r="I2029" s="7" cm="1">
        <f t="array" ref="I2029">SUMPRODUCT(("CT_CWODBDS"=[1]OUT_SyntheticFuels!$C$4:$C$1000)*1,("Var_cap"=[1]OUT_SyntheticFuels!$B$4:$B$1000)*1,[1]OUT_SyntheticFuels!H$4:H$1000)</f>
        <v>6.3384087839998826E-5</v>
      </c>
      <c r="J2029" s="7" cm="1">
        <f t="array" ref="J2029">SUMPRODUCT(("CT_CWODBDS"=[1]OUT_SyntheticFuels!$C$4:$C$1000)*1,("Var_cap"=[1]OUT_SyntheticFuels!$B$4:$B$1000)*1,[1]OUT_SyntheticFuels!I$4:I$1000)</f>
        <v>3.5074300451244643E-5</v>
      </c>
      <c r="K2029" s="7" cm="1">
        <f t="array" ref="K2029">SUMPRODUCT(("CT_CWODBDS"=[1]OUT_SyntheticFuels!$C$4:$C$1000)*1,("Var_cap"=[1]OUT_SyntheticFuels!$B$4:$B$1000)*1,[1]OUT_SyntheticFuels!J$4:J$1000)</f>
        <v>2.8311722491331241E-5</v>
      </c>
    </row>
    <row r="2030" spans="2:11" x14ac:dyDescent="0.25">
      <c r="B2030" s="5" t="str">
        <f t="shared" si="1249"/>
        <v>SPS3</v>
      </c>
      <c r="C2030" s="5" t="str">
        <f t="shared" si="1289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2.5660483343708399E-5</v>
      </c>
      <c r="K2030" s="7" cm="1">
        <f t="array" ref="K2030">SUMPRODUCT(("CT_CWODBDSCCS"=[1]OUT_SyntheticFuels!$C$4:$C$1000)*1,("Var_cap"=[1]OUT_SyntheticFuels!$B$4:$B$1000)*1,[1]OUT_SyntheticFuels!J$4:J$1000)</f>
        <v>3.2001301618138899E-5</v>
      </c>
    </row>
    <row r="2031" spans="2:11" x14ac:dyDescent="0.25">
      <c r="B2031" s="5" t="str">
        <f t="shared" si="1249"/>
        <v>SPS3</v>
      </c>
      <c r="C2031" s="5" t="str">
        <f t="shared" si="1289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7.4453868397199368E-3</v>
      </c>
      <c r="G2031" s="7" cm="1">
        <f t="array" ref="G2031">SUMPRODUCT(("CT_CWODETH"=[1]OUT_SyntheticFuels!$C$4:$C$1000)*1,("Var_cap"=[1]OUT_SyntheticFuels!$B$4:$B$1000)*1,[1]OUT_SyntheticFuels!F$4:F$1000)</f>
        <v>7.4456210922953566E-3</v>
      </c>
      <c r="H2031" s="7" cm="1">
        <f t="array" ref="H2031">SUMPRODUCT(("CT_CWODETH"=[1]OUT_SyntheticFuels!$C$4:$C$1000)*1,("Var_cap"=[1]OUT_SyntheticFuels!$B$4:$B$1000)*1,[1]OUT_SyntheticFuels!G$4:G$1000)</f>
        <v>4.6692187494354283E-2</v>
      </c>
      <c r="I2031" s="7" cm="1">
        <f t="array" ref="I2031">SUMPRODUCT(("CT_CWODETH"=[1]OUT_SyntheticFuels!$C$4:$C$1000)*1,("Var_cap"=[1]OUT_SyntheticFuels!$B$4:$B$1000)*1,[1]OUT_SyntheticFuels!H$4:H$1000)</f>
        <v>6.260528942637307E-2</v>
      </c>
      <c r="J2031" s="7" cm="1">
        <f t="array" ref="J2031">SUMPRODUCT(("CT_CWODETH"=[1]OUT_SyntheticFuels!$C$4:$C$1000)*1,("Var_cap"=[1]OUT_SyntheticFuels!$B$4:$B$1000)*1,[1]OUT_SyntheticFuels!I$4:I$1000)</f>
        <v>5.0860215363393579E-5</v>
      </c>
      <c r="K2031" s="7" cm="1">
        <f t="array" ref="K2031">SUMPRODUCT(("CT_CWODETH"=[1]OUT_SyntheticFuels!$C$4:$C$1000)*1,("Var_cap"=[1]OUT_SyntheticFuels!$B$4:$B$1000)*1,[1]OUT_SyntheticFuels!J$4:J$1000)</f>
        <v>1.7245107986300391E-5</v>
      </c>
    </row>
    <row r="2032" spans="2:11" x14ac:dyDescent="0.25">
      <c r="B2032" s="5" t="str">
        <f t="shared" si="1249"/>
        <v>SPS3</v>
      </c>
      <c r="C2032" s="5" t="str">
        <f t="shared" si="1289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1.4271001644730401E-5</v>
      </c>
      <c r="K2032" s="7" cm="1">
        <f t="array" ref="K2032">SUMPRODUCT(("CT_CWODETHCCS"=[1]OUT_SyntheticFuels!$C$4:$C$1000)*1,("Var_cap"=[1]OUT_SyntheticFuels!$B$4:$B$1000)*1,[1]OUT_SyntheticFuels!J$4:J$1000)</f>
        <v>1.4418850784939799E-5</v>
      </c>
    </row>
    <row r="2033" spans="2:11" x14ac:dyDescent="0.25">
      <c r="B2033" s="5" t="str">
        <f t="shared" si="1249"/>
        <v>SPS3</v>
      </c>
      <c r="C2033" s="5" t="str">
        <f t="shared" si="1289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5.0685562971048502E-2</v>
      </c>
      <c r="G2033" s="7" cm="1">
        <f t="array" ref="G2033">SUMPRODUCT(("SUP_MNRBIO"=[1]OUT_SyntheticFuels!$C$4:$C$1000)*1,("Var_cap"=[1]OUT_SyntheticFuels!$B$4:$B$1000)*1,[1]OUT_SyntheticFuels!F$4:F$1000)</f>
        <v>0.13113718480772177</v>
      </c>
      <c r="H2033" s="7" cm="1">
        <f t="array" ref="H2033">SUMPRODUCT(("SUP_MNRBIO"=[1]OUT_SyntheticFuels!$C$4:$C$1000)*1,("Var_cap"=[1]OUT_SyntheticFuels!$B$4:$B$1000)*1,[1]OUT_SyntheticFuels!G$4:G$1000)</f>
        <v>0.13297481501228625</v>
      </c>
      <c r="I2033" s="7" cm="1">
        <f t="array" ref="I2033">SUMPRODUCT(("SUP_MNRBIO"=[1]OUT_SyntheticFuels!$C$4:$C$1000)*1,("Var_cap"=[1]OUT_SyntheticFuels!$B$4:$B$1000)*1,[1]OUT_SyntheticFuels!H$4:H$1000)</f>
        <v>0.22153455177883039</v>
      </c>
      <c r="J2033" s="7" cm="1">
        <f t="array" ref="J2033">SUMPRODUCT(("SUP_MNRBIO"=[1]OUT_SyntheticFuels!$C$4:$C$1000)*1,("Var_cap"=[1]OUT_SyntheticFuels!$B$4:$B$1000)*1,[1]OUT_SyntheticFuels!I$4:I$1000)</f>
        <v>0.27948796858173991</v>
      </c>
      <c r="K2033" s="7" cm="1">
        <f t="array" ref="K2033">SUMPRODUCT(("SUP_MNRBIO"=[1]OUT_SyntheticFuels!$C$4:$C$1000)*1,("Var_cap"=[1]OUT_SyntheticFuels!$B$4:$B$1000)*1,[1]OUT_SyntheticFuels!J$4:J$1000)</f>
        <v>0.34965178740322161</v>
      </c>
    </row>
    <row r="2034" spans="2:11" x14ac:dyDescent="0.25">
      <c r="B2034" s="5" t="str">
        <f t="shared" si="1249"/>
        <v>SPS3</v>
      </c>
      <c r="C2034" s="5" t="str">
        <f t="shared" si="1289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0.21266751865117853</v>
      </c>
      <c r="G2034" s="7" cm="1">
        <f t="array" ref="G2034">SUMPRODUCT(("SUP_WSTBIO"=[1]OUT_SyntheticFuels!$C$4:$C$1000)*1,("Var_cap"=[1]OUT_SyntheticFuels!$B$4:$B$1000)*1,[1]OUT_SyntheticFuels!F$4:F$1000)</f>
        <v>0.21170253740580727</v>
      </c>
      <c r="H2034" s="7" cm="1">
        <f t="array" ref="H2034">SUMPRODUCT(("SUP_WSTBIO"=[1]OUT_SyntheticFuels!$C$4:$C$1000)*1,("Var_cap"=[1]OUT_SyntheticFuels!$B$4:$B$1000)*1,[1]OUT_SyntheticFuels!G$4:G$1000)</f>
        <v>0.21170102437349858</v>
      </c>
      <c r="I2034" s="7" cm="1">
        <f t="array" ref="I2034">SUMPRODUCT(("SUP_WSTBIO"=[1]OUT_SyntheticFuels!$C$4:$C$1000)*1,("Var_cap"=[1]OUT_SyntheticFuels!$B$4:$B$1000)*1,[1]OUT_SyntheticFuels!H$4:H$1000)</f>
        <v>0.26146590265014652</v>
      </c>
      <c r="J2034" s="7" cm="1">
        <f t="array" ref="J2034">SUMPRODUCT(("SUP_WSTBIO"=[1]OUT_SyntheticFuels!$C$4:$C$1000)*1,("Var_cap"=[1]OUT_SyntheticFuels!$B$4:$B$1000)*1,[1]OUT_SyntheticFuels!I$4:I$1000)</f>
        <v>0.26140001587860401</v>
      </c>
      <c r="K2034" s="7" cm="1">
        <f t="array" ref="K2034">SUMPRODUCT(("SUP_WSTBIO"=[1]OUT_SyntheticFuels!$C$4:$C$1000)*1,("Var_cap"=[1]OUT_SyntheticFuels!$B$4:$B$1000)*1,[1]OUT_SyntheticFuels!J$4:J$1000)</f>
        <v>0.37187086732172014</v>
      </c>
    </row>
    <row r="2035" spans="2:11" x14ac:dyDescent="0.25">
      <c r="B2035" s="5" t="str">
        <f t="shared" si="1249"/>
        <v>SPS3</v>
      </c>
      <c r="C2035" s="5" t="str">
        <f t="shared" si="1289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ref="B2036:B2044" si="1290">B2035</f>
        <v>SPS3</v>
      </c>
      <c r="C2036" s="5" t="str">
        <f t="shared" si="1289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3.1055850201969801E-5</v>
      </c>
      <c r="K2036" s="7" cm="1">
        <f t="array" ref="K2036">SUMPRODUCT(("SUP_WSTHTGBIO"=[1]OUT_SyntheticFuels!$C$4:$C$1000)*1,("Var_cap"=[1]OUT_SyntheticFuels!$B$4:$B$1000)*1,[1]OUT_SyntheticFuels!J$4:J$1000)</f>
        <v>3.2236598603623681E-5</v>
      </c>
    </row>
    <row r="2037" spans="2:11" x14ac:dyDescent="0.25">
      <c r="B2037" s="5" t="str">
        <f t="shared" si="1290"/>
        <v>SPS3</v>
      </c>
      <c r="C2037" s="5" t="str">
        <f t="shared" si="1289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1.0440853156175999E-5</v>
      </c>
      <c r="K2037" s="7" cm="1">
        <f t="array" ref="K2037">SUMPRODUCT(("SUP_WSTHTGBIOCCS"=[1]OUT_SyntheticFuels!$C$4:$C$1000)*1,("Var_cap"=[1]OUT_SyntheticFuels!$B$4:$B$1000)*1,[1]OUT_SyntheticFuels!J$4:J$1000)</f>
        <v>2.0470570532732324E-5</v>
      </c>
    </row>
    <row r="2038" spans="2:11" x14ac:dyDescent="0.25">
      <c r="B2038" s="5" t="str">
        <f t="shared" si="1290"/>
        <v>SPS3</v>
      </c>
      <c r="C2038" s="5" t="str">
        <f t="shared" si="1289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1.3235812894681E-6</v>
      </c>
      <c r="G2038" s="7" cm="1">
        <f t="array" ref="G2038">SUMPRODUCT(("SUP_WODBIO"=[1]OUT_SyntheticFuels!$C$4:$C$1000)*1,("Var_cap"=[1]OUT_SyntheticFuels!$B$4:$B$1000)*1,[1]OUT_SyntheticFuels!F$4:F$1000)</f>
        <v>4.2033776094681958E-5</v>
      </c>
      <c r="H2038" s="7" cm="1">
        <f t="array" ref="H2038">SUMPRODUCT(("SUP_WODBIO"=[1]OUT_SyntheticFuels!$C$4:$C$1000)*1,("Var_cap"=[1]OUT_SyntheticFuels!$B$4:$B$1000)*1,[1]OUT_SyntheticFuels!G$4:G$1000)</f>
        <v>4.3471902599830242E-5</v>
      </c>
      <c r="I2038" s="7" cm="1">
        <f t="array" ref="I2038">SUMPRODUCT(("SUP_WODBIO"=[1]OUT_SyntheticFuels!$C$4:$C$1000)*1,("Var_cap"=[1]OUT_SyntheticFuels!$B$4:$B$1000)*1,[1]OUT_SyntheticFuels!H$4:H$1000)</f>
        <v>4.3728466586237608E-5</v>
      </c>
      <c r="J2038" s="7" cm="1">
        <f t="array" ref="J2038">SUMPRODUCT(("SUP_WODBIO"=[1]OUT_SyntheticFuels!$C$4:$C$1000)*1,("Var_cap"=[1]OUT_SyntheticFuels!$B$4:$B$1000)*1,[1]OUT_SyntheticFuels!I$4:I$1000)</f>
        <v>4.7502816596462284E-5</v>
      </c>
      <c r="K2038" s="7" cm="1">
        <f t="array" ref="K2038">SUMPRODUCT(("SUP_WODBIO"=[1]OUT_SyntheticFuels!$C$4:$C$1000)*1,("Var_cap"=[1]OUT_SyntheticFuels!$B$4:$B$1000)*1,[1]OUT_SyntheticFuels!J$4:J$1000)</f>
        <v>2.6586973951093968E-5</v>
      </c>
    </row>
    <row r="2039" spans="2:11" x14ac:dyDescent="0.25">
      <c r="B2039" s="5" t="str">
        <f t="shared" si="1290"/>
        <v>SPS3</v>
      </c>
      <c r="C2039" s="5" t="str">
        <f t="shared" si="1289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2.57689269349217E-5</v>
      </c>
      <c r="K2039" s="7" cm="1">
        <f t="array" ref="K2039">SUMPRODUCT(("SUP_WODBIOCCS"=[1]OUT_SyntheticFuels!$C$4:$C$1000)*1,("Var_cap"=[1]OUT_SyntheticFuels!$B$4:$B$1000)*1,[1]OUT_SyntheticFuels!J$4:J$1000)</f>
        <v>2.7010991982891701E-5</v>
      </c>
    </row>
    <row r="2040" spans="2:11" x14ac:dyDescent="0.25">
      <c r="B2040" s="5" t="str">
        <f t="shared" si="1290"/>
        <v>SPS3</v>
      </c>
      <c r="C2040" s="5" t="str">
        <f t="shared" si="1289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4.238294473772132E-2</v>
      </c>
      <c r="G2040" s="7" cm="1">
        <f t="array" ref="G2040">SUMPRODUCT(("SUP_BIONGA"=[1]OUT_SyntheticFuels!$C$4:$C$1000)*1,("Var_cap"=[1]OUT_SyntheticFuels!$B$4:$B$1000)*1,[1]OUT_SyntheticFuels!F$4:F$1000)</f>
        <v>0.11111139011483097</v>
      </c>
      <c r="H2040" s="7" cm="1">
        <f t="array" ref="H2040">SUMPRODUCT(("SUP_BIONGA"=[1]OUT_SyntheticFuels!$C$4:$C$1000)*1,("Var_cap"=[1]OUT_SyntheticFuels!$B$4:$B$1000)*1,[1]OUT_SyntheticFuels!G$4:G$1000)</f>
        <v>0.11110940571912242</v>
      </c>
      <c r="I2040" s="7" cm="1">
        <f t="array" ref="I2040">SUMPRODUCT(("SUP_BIONGA"=[1]OUT_SyntheticFuels!$C$4:$C$1000)*1,("Var_cap"=[1]OUT_SyntheticFuels!$B$4:$B$1000)*1,[1]OUT_SyntheticFuels!H$4:H$1000)</f>
        <v>0.10625803960519384</v>
      </c>
      <c r="J2040" s="7" cm="1">
        <f t="array" ref="J2040">SUMPRODUCT(("SUP_BIONGA"=[1]OUT_SyntheticFuels!$C$4:$C$1000)*1,("Var_cap"=[1]OUT_SyntheticFuels!$B$4:$B$1000)*1,[1]OUT_SyntheticFuels!I$4:I$1000)</f>
        <v>9.2118079093407232E-2</v>
      </c>
      <c r="K2040" s="7" cm="1">
        <f t="array" ref="K2040">SUMPRODUCT(("SUP_BIONGA"=[1]OUT_SyntheticFuels!$C$4:$C$1000)*1,("Var_cap"=[1]OUT_SyntheticFuels!$B$4:$B$1000)*1,[1]OUT_SyntheticFuels!J$4:J$1000)</f>
        <v>0.32246864691458615</v>
      </c>
    </row>
    <row r="2041" spans="2:11" x14ac:dyDescent="0.25">
      <c r="B2041" s="5" t="str">
        <f t="shared" si="1290"/>
        <v>SPS3</v>
      </c>
      <c r="C2041" s="5" t="str">
        <f t="shared" si="1289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0.3551990465228731</v>
      </c>
      <c r="G2041" s="7" cm="1">
        <f t="array" ref="G2041">SUMPRODUCT(("CT_CWODPLT"=[1]OUT_SyntheticFuels!$C$4:$C$1000)*1,("Var_cap"=[1]OUT_SyntheticFuels!$B$4:$B$1000)*1,[1]OUT_SyntheticFuels!F$4:F$1000)</f>
        <v>0.40973837833656246</v>
      </c>
      <c r="H2041" s="7" cm="1">
        <f t="array" ref="H2041">SUMPRODUCT(("CT_CWODPLT"=[1]OUT_SyntheticFuels!$C$4:$C$1000)*1,("Var_cap"=[1]OUT_SyntheticFuels!$B$4:$B$1000)*1,[1]OUT_SyntheticFuels!G$4:G$1000)</f>
        <v>6.091022860769002E-2</v>
      </c>
      <c r="I2041" s="7" cm="1">
        <f t="array" ref="I2041">SUMPRODUCT(("CT_CWODPLT"=[1]OUT_SyntheticFuels!$C$4:$C$1000)*1,("Var_cap"=[1]OUT_SyntheticFuels!$B$4:$B$1000)*1,[1]OUT_SyntheticFuels!H$4:H$1000)</f>
        <v>5.7090731200976963E-2</v>
      </c>
      <c r="J2041" s="7" cm="1">
        <f t="array" ref="J2041">SUMPRODUCT(("CT_CWODPLT"=[1]OUT_SyntheticFuels!$C$4:$C$1000)*1,("Var_cap"=[1]OUT_SyntheticFuels!$B$4:$B$1000)*1,[1]OUT_SyntheticFuels!I$4:I$1000)</f>
        <v>4.7735014575034401E-2</v>
      </c>
      <c r="K2041" s="7" cm="1">
        <f t="array" ref="K2041">SUMPRODUCT(("CT_CWODPLT"=[1]OUT_SyntheticFuels!$C$4:$C$1000)*1,("Var_cap"=[1]OUT_SyntheticFuels!$B$4:$B$1000)*1,[1]OUT_SyntheticFuels!J$4:J$1000)</f>
        <v>3.7615114180318668E-2</v>
      </c>
    </row>
    <row r="2042" spans="2:11" x14ac:dyDescent="0.25">
      <c r="B2042" s="5" t="str">
        <f t="shared" si="1290"/>
        <v>SPS3</v>
      </c>
      <c r="C2042" s="5" t="str">
        <f t="shared" si="1289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1.3627089794606201E-6</v>
      </c>
      <c r="J2042" s="7" cm="1">
        <f t="array" ref="J2042">SUMPRODUCT(("SUP_H2NGA"=[1]OUT_SyntheticFuels!$C$4:$C$1000)*1,("Var_cap"=[1]OUT_SyntheticFuels!$B$4:$B$1000)*1,[1]OUT_SyntheticFuels!I$4:I$1000)</f>
        <v>2.1960792844427816E-4</v>
      </c>
      <c r="K2042" s="7" cm="1">
        <f t="array" ref="K2042">SUMPRODUCT(("SUP_H2NGA"=[1]OUT_SyntheticFuels!$C$4:$C$1000)*1,("Var_cap"=[1]OUT_SyntheticFuels!$B$4:$B$1000)*1,[1]OUT_SyntheticFuels!J$4:J$1000)</f>
        <v>2.1629301191770434E-4</v>
      </c>
    </row>
    <row r="2043" spans="2:11" x14ac:dyDescent="0.25">
      <c r="B2043" s="5" t="str">
        <f t="shared" si="1290"/>
        <v>SPS3</v>
      </c>
      <c r="C2043" s="5" t="str">
        <f t="shared" si="1289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3.09742405964524E-6</v>
      </c>
      <c r="J2043" s="7" cm="1">
        <f t="array" ref="J2043">SUMPRODUCT(("SUP_H2DSL"=[1]OUT_SyntheticFuels!$C$4:$C$1000)*1,("Var_cap"=[1]OUT_SyntheticFuels!$B$4:$B$1000)*1,[1]OUT_SyntheticFuels!I$4:I$1000)</f>
        <v>0.24445742262564241</v>
      </c>
      <c r="K2043" s="7" cm="1">
        <f t="array" ref="K2043">SUMPRODUCT(("SUP_H2DSL"=[1]OUT_SyntheticFuels!$C$4:$C$1000)*1,("Var_cap"=[1]OUT_SyntheticFuels!$B$4:$B$1000)*1,[1]OUT_SyntheticFuels!J$4:J$1000)</f>
        <v>5.9951811707862013E-2</v>
      </c>
    </row>
    <row r="2044" spans="2:11" x14ac:dyDescent="0.25">
      <c r="B2044" s="5" t="str">
        <f t="shared" si="1290"/>
        <v>SPS3</v>
      </c>
      <c r="C2044" s="5" t="str">
        <f t="shared" si="1289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3.01164496448295E-6</v>
      </c>
      <c r="J2044" s="7" cm="1">
        <f t="array" ref="J2044">SUMPRODUCT(("SUP_H2GSL"=[1]OUT_SyntheticFuels!$C$4:$C$1000)*1,("Var_cap"=[1]OUT_SyntheticFuels!$B$4:$B$1000)*1,[1]OUT_SyntheticFuels!I$4:I$1000)</f>
        <v>0.12421563923409597</v>
      </c>
      <c r="K2044" s="7" cm="1">
        <f t="array" ref="K2044">SUMPRODUCT(("SUP_H2GSL"=[1]OUT_SyntheticFuels!$C$4:$C$1000)*1,("Var_cap"=[1]OUT_SyntheticFuels!$B$4:$B$1000)*1,[1]OUT_SyntheticFuels!J$4:J$1000)</f>
        <v>0.12419172158835831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716.09876270034715</v>
      </c>
      <c r="D3" s="3">
        <f t="shared" ref="D3:H3" si="0">SUM(D4:D7)</f>
        <v>703.77334793128693</v>
      </c>
      <c r="E3" s="3">
        <f t="shared" si="0"/>
        <v>672.30081074634393</v>
      </c>
      <c r="F3" s="3">
        <f t="shared" si="0"/>
        <v>594.51724241712134</v>
      </c>
      <c r="G3" s="3">
        <f t="shared" si="0"/>
        <v>528.44185760763946</v>
      </c>
      <c r="H3" s="3">
        <f t="shared" si="0"/>
        <v>449.33504175880898</v>
      </c>
    </row>
    <row r="4" spans="2:8" x14ac:dyDescent="0.25">
      <c r="B4" s="25" t="s">
        <v>1728</v>
      </c>
      <c r="C4" s="1">
        <f>'SPS3'!F761</f>
        <v>142.21744968543103</v>
      </c>
      <c r="D4" s="1">
        <f>'SPS3'!G761</f>
        <v>140.24834600316041</v>
      </c>
      <c r="E4" s="1">
        <f>'SPS3'!H761</f>
        <v>141.82960083697273</v>
      </c>
      <c r="F4" s="1">
        <f>'SPS3'!I761</f>
        <v>141.30361191632753</v>
      </c>
      <c r="G4" s="1">
        <f>'SPS3'!J761</f>
        <v>140.25820586500572</v>
      </c>
      <c r="H4" s="1">
        <f>'SPS3'!K761</f>
        <v>118.56141975196762</v>
      </c>
    </row>
    <row r="5" spans="2:8" x14ac:dyDescent="0.25">
      <c r="B5" s="25" t="s">
        <v>1729</v>
      </c>
      <c r="C5" s="1">
        <f>'SPS3'!F880</f>
        <v>140.10110102735246</v>
      </c>
      <c r="D5" s="1">
        <f>'SPS3'!G880</f>
        <v>136.9369679955465</v>
      </c>
      <c r="E5" s="1">
        <f>'SPS3'!H880</f>
        <v>127.1300472507303</v>
      </c>
      <c r="F5" s="1">
        <f>'SPS3'!I880</f>
        <v>114.45707206436465</v>
      </c>
      <c r="G5" s="1">
        <f>'SPS3'!J880</f>
        <v>97.573200847736871</v>
      </c>
      <c r="H5" s="1">
        <f>'SPS3'!K880</f>
        <v>83.339382370239889</v>
      </c>
    </row>
    <row r="6" spans="2:8" x14ac:dyDescent="0.25">
      <c r="B6" s="25" t="s">
        <v>1730</v>
      </c>
      <c r="C6" s="1">
        <f>'SPS3'!F970</f>
        <v>219.85102753784926</v>
      </c>
      <c r="D6" s="1">
        <f>'SPS3'!G970</f>
        <v>216.85697827469545</v>
      </c>
      <c r="E6" s="1">
        <f>'SPS3'!H970</f>
        <v>215.08897323736758</v>
      </c>
      <c r="F6" s="1">
        <f>'SPS3'!I970</f>
        <v>193.50082796355238</v>
      </c>
      <c r="G6" s="1">
        <f>'SPS3'!J970</f>
        <v>169.89157283131715</v>
      </c>
      <c r="H6" s="1">
        <f>'SPS3'!K970</f>
        <v>149.38430368486866</v>
      </c>
    </row>
    <row r="7" spans="2:8" x14ac:dyDescent="0.25">
      <c r="B7" s="25" t="s">
        <v>1731</v>
      </c>
      <c r="C7" s="1">
        <f>'SPS3'!F1134+'SPS3'!F1313+'SPS3'!F1397+'SPS3'!F1481+'SPS3'!F1488+'SPS3'!F1495+'SPS3'!F1544+'SPS3'!F1591+'SPS3'!F1638</f>
        <v>213.92918444971434</v>
      </c>
      <c r="D7" s="1">
        <f>'SPS3'!G1134+'SPS3'!G1313+'SPS3'!G1397+'SPS3'!G1481+'SPS3'!G1488+'SPS3'!G1495+'SPS3'!G1544+'SPS3'!G1591+'SPS3'!G1638</f>
        <v>209.73105565788464</v>
      </c>
      <c r="E7" s="1">
        <f>'SPS3'!H1134+'SPS3'!H1313+'SPS3'!H1397+'SPS3'!H1481+'SPS3'!H1488+'SPS3'!H1495+'SPS3'!H1544+'SPS3'!H1591+'SPS3'!H1638</f>
        <v>188.25218942127336</v>
      </c>
      <c r="F7" s="1">
        <f>'SPS3'!I1134+'SPS3'!I1313+'SPS3'!I1397+'SPS3'!I1481+'SPS3'!I1488+'SPS3'!I1495+'SPS3'!I1544+'SPS3'!I1591+'SPS3'!I1638</f>
        <v>145.25573047287673</v>
      </c>
      <c r="G7" s="1">
        <f>'SPS3'!J1134+'SPS3'!J1313+'SPS3'!J1397+'SPS3'!J1481+'SPS3'!J1488+'SPS3'!J1495+'SPS3'!J1544+'SPS3'!J1591+'SPS3'!J1638</f>
        <v>120.71887806357975</v>
      </c>
      <c r="H7" s="1">
        <f>'SPS3'!K1134+'SPS3'!K1313+'SPS3'!K1397+'SPS3'!K1481+'SPS3'!K1488+'SPS3'!K1495+'SPS3'!K1544+'SPS3'!K1591+'SPS3'!K1638</f>
        <v>98.049935951732834</v>
      </c>
    </row>
    <row r="8" spans="2:8" x14ac:dyDescent="0.25">
      <c r="B8" s="2" t="s">
        <v>1736</v>
      </c>
      <c r="C8" s="3">
        <f>SUM(C9:C12)</f>
        <v>508.81542124792168</v>
      </c>
      <c r="D8" s="3">
        <f t="shared" ref="D8:H8" si="1">SUM(D9:D12)</f>
        <v>494.98472365437311</v>
      </c>
      <c r="E8" s="3">
        <f t="shared" si="1"/>
        <v>550.7121835098427</v>
      </c>
      <c r="F8" s="3">
        <f t="shared" si="1"/>
        <v>624.45725909067164</v>
      </c>
      <c r="G8" s="3">
        <f t="shared" si="1"/>
        <v>493.17556886219432</v>
      </c>
      <c r="H8" s="3">
        <f t="shared" si="1"/>
        <v>453.1765896311004</v>
      </c>
    </row>
    <row r="9" spans="2:8" x14ac:dyDescent="0.25">
      <c r="B9" s="25" t="s">
        <v>1733</v>
      </c>
      <c r="C9" s="1">
        <f>'SPS3'!F289+'SPS3'!F407</f>
        <v>493.44727670037361</v>
      </c>
      <c r="D9" s="1">
        <f>'SPS3'!G289+'SPS3'!G407</f>
        <v>474.79979010001477</v>
      </c>
      <c r="E9" s="1">
        <f>'SPS3'!H289+'SPS3'!H407</f>
        <v>526.53294041802064</v>
      </c>
      <c r="F9" s="1">
        <f>'SPS3'!I289+'SPS3'!I407</f>
        <v>564.9525633684334</v>
      </c>
      <c r="G9" s="1">
        <f>'SPS3'!J289+'SPS3'!J407</f>
        <v>436.76304667946624</v>
      </c>
      <c r="H9" s="1">
        <f>'SPS3'!K289+'SPS3'!K407</f>
        <v>377.39349598839408</v>
      </c>
    </row>
    <row r="10" spans="2:8" x14ac:dyDescent="0.25">
      <c r="B10" s="25" t="s">
        <v>1734</v>
      </c>
      <c r="C10" s="1">
        <f>'SPS3'!F588+'SPS3'!F602+'SPS3'!F642</f>
        <v>15.360676844072513</v>
      </c>
      <c r="D10" s="1">
        <f>'SPS3'!G588+'SPS3'!G602+'SPS3'!G642</f>
        <v>20.158932056767775</v>
      </c>
      <c r="E10" s="1">
        <f>'SPS3'!H588+'SPS3'!H602+'SPS3'!H642</f>
        <v>24.059511044184486</v>
      </c>
      <c r="F10" s="1">
        <f>'SPS3'!I588+'SPS3'!I602+'SPS3'!I642</f>
        <v>35.159793480210787</v>
      </c>
      <c r="G10" s="1">
        <f>'SPS3'!J588+'SPS3'!J602+'SPS3'!J642</f>
        <v>33.483258080639814</v>
      </c>
      <c r="H10" s="1">
        <f>'SPS3'!K588+'SPS3'!K602+'SPS3'!K642</f>
        <v>43.929901643310529</v>
      </c>
    </row>
    <row r="11" spans="2:8" x14ac:dyDescent="0.25">
      <c r="B11" s="25" t="s">
        <v>1732</v>
      </c>
      <c r="C11" s="1">
        <f>'SPS3'!F677</f>
        <v>7.4677034755552957E-3</v>
      </c>
      <c r="D11" s="1">
        <f>'SPS3'!G677</f>
        <v>2.6001497590561709E-2</v>
      </c>
      <c r="E11" s="1">
        <f>'SPS3'!H677</f>
        <v>0.11973204763764422</v>
      </c>
      <c r="F11" s="1">
        <f>'SPS3'!I677</f>
        <v>24.344902242027487</v>
      </c>
      <c r="G11" s="1">
        <f>'SPS3'!J677</f>
        <v>22.929241682341246</v>
      </c>
      <c r="H11" s="1">
        <f>'SPS3'!K677</f>
        <v>31.853086742954417</v>
      </c>
    </row>
    <row r="12" spans="2:8" x14ac:dyDescent="0.25">
      <c r="B12" s="25" t="s">
        <v>1735</v>
      </c>
      <c r="C12" s="1">
        <f>'SPS3'!F1702</f>
        <v>0</v>
      </c>
      <c r="D12" s="1">
        <f>'SPS3'!G1702</f>
        <v>0</v>
      </c>
      <c r="E12" s="1">
        <f>'SPS3'!H1702</f>
        <v>0</v>
      </c>
      <c r="F12" s="1">
        <f>'SPS3'!I1702</f>
        <v>0</v>
      </c>
      <c r="G12" s="1">
        <f>'SPS3'!J1702</f>
        <v>2.2419747028227614E-5</v>
      </c>
      <c r="H12" s="1">
        <f>'SPS3'!K1702</f>
        <v>1.0525644139627514E-4</v>
      </c>
    </row>
    <row r="13" spans="2:8" x14ac:dyDescent="0.25">
      <c r="B13" s="2" t="s">
        <v>1737</v>
      </c>
      <c r="C13" s="3">
        <f>'SPS3'!F2+'SPS3'!F20-'SPS3'!F55</f>
        <v>961.93133099179363</v>
      </c>
      <c r="D13" s="3">
        <f>'SPS3'!G2+'SPS3'!G20-'SPS3'!G55</f>
        <v>960.007871691633</v>
      </c>
      <c r="E13" s="3">
        <f>'SPS3'!H2+'SPS3'!H20-'SPS3'!H55</f>
        <v>957.69874923304656</v>
      </c>
      <c r="F13" s="3">
        <f>'SPS3'!I2+'SPS3'!I20-'SPS3'!I55</f>
        <v>882.97872484541244</v>
      </c>
      <c r="G13" s="3">
        <f>'SPS3'!J2+'SPS3'!J20-'SPS3'!J55</f>
        <v>689.50144878869651</v>
      </c>
      <c r="H13" s="3">
        <f>'SPS3'!K2+'SPS3'!K20-'SPS3'!K55</f>
        <v>557.18250429182081</v>
      </c>
    </row>
    <row r="14" spans="2:8" x14ac:dyDescent="0.25">
      <c r="B14" s="25" t="s">
        <v>1738</v>
      </c>
      <c r="C14" s="1">
        <f>'SPS3'!F2</f>
        <v>299.34497359208609</v>
      </c>
      <c r="D14" s="1">
        <f>'SPS3'!G2</f>
        <v>291.08921262605492</v>
      </c>
      <c r="E14" s="1">
        <f>'SPS3'!H2</f>
        <v>388.35798842981649</v>
      </c>
      <c r="F14" s="1">
        <f>'SPS3'!I2</f>
        <v>456.48868585759067</v>
      </c>
      <c r="G14" s="1">
        <f>'SPS3'!J2</f>
        <v>470.63872066068359</v>
      </c>
      <c r="H14" s="1">
        <f>'SPS3'!K2</f>
        <v>497.10020339532286</v>
      </c>
    </row>
    <row r="15" spans="2:8" x14ac:dyDescent="0.25">
      <c r="B15" s="25" t="s">
        <v>19</v>
      </c>
      <c r="C15" s="1">
        <f>'SPS3'!F20</f>
        <v>779.75636364544664</v>
      </c>
      <c r="D15" s="1">
        <f>'SPS3'!G20</f>
        <v>704.82145893781239</v>
      </c>
      <c r="E15" s="1">
        <f>'SPS3'!H20</f>
        <v>620.32544956132472</v>
      </c>
      <c r="F15" s="1">
        <f>'SPS3'!I20</f>
        <v>452.31040708365754</v>
      </c>
      <c r="G15" s="1">
        <f>'SPS3'!J20</f>
        <v>233.70888336872773</v>
      </c>
      <c r="H15" s="1">
        <f>'SPS3'!K20</f>
        <v>77.352823059003001</v>
      </c>
    </row>
    <row r="16" spans="2:8" x14ac:dyDescent="0.25">
      <c r="B16" s="25" t="s">
        <v>24</v>
      </c>
      <c r="C16" s="1">
        <f>'SPS3'!F55</f>
        <v>117.17000624573922</v>
      </c>
      <c r="D16" s="1">
        <f>'SPS3'!G55</f>
        <v>35.90279987223429</v>
      </c>
      <c r="E16" s="1">
        <f>'SPS3'!H55</f>
        <v>50.984688758094649</v>
      </c>
      <c r="F16" s="1">
        <f>'SPS3'!I55</f>
        <v>25.820368095835804</v>
      </c>
      <c r="G16" s="1">
        <f>'SPS3'!J55</f>
        <v>14.846155240714772</v>
      </c>
      <c r="H16" s="1">
        <f>'SPS3'!K55</f>
        <v>17.270522162505003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8F5D6087-1E32-448F-A5C0-F6EDDCC06CD9}"/>
</file>

<file path=customXml/itemProps2.xml><?xml version="1.0" encoding="utf-8"?>
<ds:datastoreItem xmlns:ds="http://schemas.openxmlformats.org/officeDocument/2006/customXml" ds:itemID="{014B3030-8A76-4AB8-8BDC-14C446AB6375}"/>
</file>

<file path=customXml/itemProps3.xml><?xml version="1.0" encoding="utf-8"?>
<ds:datastoreItem xmlns:ds="http://schemas.openxmlformats.org/officeDocument/2006/customXml" ds:itemID="{D6FB4ADA-E775-47CF-BD90-62CA325BBBF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SPS3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2025-03-12T11:17:46Z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